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showSheetTabs="0" xWindow="0" yWindow="0" windowWidth="16384" windowHeight="8192" tabRatio="742" activeTab="7"/>
  </bookViews>
  <sheets>
    <sheet name="IN" sheetId="1" r:id="rId1"/>
    <sheet name="AP" sheetId="2" r:id="rId2"/>
    <sheet name="IT" sheetId="3" r:id="rId3"/>
    <sheet name="MP" sheetId="4" r:id="rId4"/>
    <sheet name="ME" sheetId="5" r:id="rId5"/>
    <sheet name="IB" sheetId="6" r:id="rId6"/>
    <sheet name="DO" sheetId="7" r:id="rId7"/>
    <sheet name="CP" sheetId="8" r:id="rId8"/>
    <sheet name="TB" sheetId="9" r:id="rId9"/>
    <sheet name="RE" sheetId="10" r:id="rId10"/>
    <sheet name="VL" sheetId="11" r:id="rId11"/>
    <sheet name="PL" sheetId="12" r:id="rId12"/>
    <sheet name="M" sheetId="13" state="hidden" r:id="rId13"/>
    <sheet name="M4" sheetId="14" state="hidden" r:id="rId14"/>
  </sheets>
  <definedNames>
    <definedName name="Coeficientes">'M4'!$C$1</definedName>
    <definedName name="Dados_Operacionais">'M4'!$B$1</definedName>
    <definedName name="escapefi">#REF!</definedName>
    <definedName name="Excel_BuiltIn_Recorder">'M4'!$E:$E</definedName>
    <definedName name="Insumos">'M4'!$A$1</definedName>
    <definedName name="menu">#REF!</definedName>
    <definedName name="printfi">#REF!</definedName>
    <definedName name="printins">#REF!</definedName>
    <definedName name="Registro1">#REF!</definedName>
    <definedName name="Registro2">#REF!</definedName>
    <definedName name="return">#REF!</definedName>
    <definedName name="Sair">'M4'!$E$1</definedName>
    <definedName name="Salvar_Como">'M4'!$D$1</definedName>
    <definedName name="saveasfi">#REF!</definedName>
    <definedName name="savefi">#REF!</definedName>
    <definedName name="sc">#REF!</definedName>
    <definedName name="seeins">#REF!</definedName>
    <definedName name="writefi">#REF!</definedName>
    <definedName name="_xlfnodf_XOR">NA()</definedName>
  </definedNames>
  <calcPr fullCalcOnLoad="1"/>
</workbook>
</file>

<file path=xl/sharedStrings.xml><?xml version="1.0" encoding="utf-8"?>
<sst xmlns="http://schemas.openxmlformats.org/spreadsheetml/2006/main" count="589" uniqueCount="380">
  <si>
    <t>MINISTÉRIO DOS TRANSPORTES - MT</t>
  </si>
  <si>
    <t>EMPRESA BRASILEIRA DE PLANEJAMENTO DE TRANSPORTES - GEIPOT</t>
  </si>
  <si>
    <t>DEPARTAMENTO DE TRANSPORTES URBANOS - DEURB</t>
  </si>
  <si>
    <t>PLANILHA  DE CÁLCULO  DE TARIFAS  DE ÔNIBUS  URBANOS</t>
  </si>
  <si>
    <t>Utilize os botões, com o clique do</t>
  </si>
  <si>
    <t>mouse, para ter acesso às respectivas</t>
  </si>
  <si>
    <t>planilhas ou sair do programa.</t>
  </si>
  <si>
    <t>AGUINALDO MIGNOT GRAVE</t>
  </si>
  <si>
    <t>Julho/1999</t>
  </si>
  <si>
    <t>APRESENTAÇÃO</t>
  </si>
  <si>
    <t>Versão 5.0</t>
  </si>
  <si>
    <t>Esta Planilha baseou-se na metodologia utilizada no volume  "Cálculo  de  Tarifas  de  Ônibus  Urbanos  -  Instruções  Práticas</t>
  </si>
  <si>
    <t>Atualizadas - 1994". Esse volume foi elaborado pelo Grupo de Trabalho - GT instituído pela Portaria nº 644/MT,  de  9  de  julho</t>
  </si>
  <si>
    <t>de  1993,  do Ministério  dos  Transportes, que teve a  Empresa  Brasileira  de  Planejamento  de  Transportes - GEIPOT  como</t>
  </si>
  <si>
    <t>coordenadora,  o Fórum Nacional dos Secretários de Transportes,  a Frente Nacional de  Prefeitos, a  Associação  Nacional</t>
  </si>
  <si>
    <t>das Empresas de Transportes Urbanos - NTU e a Associação Nacional de Transportes Públicos - ANTP  como  integrantes,</t>
  </si>
  <si>
    <t>e a Secretaria de Desenvolvimento do Ministério dos Transportes como supervisora.</t>
  </si>
  <si>
    <t>Siga atentamente as instruções fornecidas. Em caso de dúvida, contactar:</t>
  </si>
  <si>
    <t>SAN, Blocos "N" e "O", Ed. Núcleo dos Transportes, 2º andar, Sala 22.320, CEP: 70040-902</t>
  </si>
  <si>
    <t>Telefones: (61) 315-4808  ou  (61) 315-4810</t>
  </si>
  <si>
    <t>Fax: (61) 315-4748</t>
  </si>
  <si>
    <t>INSTRUÇÕES</t>
  </si>
  <si>
    <t>1. Certifique-se de ter digitado, no Menu Entrada de Dados, os campos: "Data Referência", "Empresa/Cidade" e "Nome do Arquivo".</t>
  </si>
  <si>
    <t>IMPORTANTE:   Não  esqueça de alimentar o  campo  "Nome do Arquivo",  pois este será empregado pelo  Excel  como  nome  do</t>
  </si>
  <si>
    <t xml:space="preserve">arquivo a ser salvo quando utilizado o item "Salvar Nova Planilha", do Menu Principal. </t>
  </si>
  <si>
    <t>2. A entrada de dados p/o cálculo da tarifa está dividida em 3 planilhas: "Insumos Básicos", "Dados Operacionais" e "Coeficientes".</t>
  </si>
  <si>
    <t>3. Não é necessário colocar zero nas células sem informações.</t>
  </si>
  <si>
    <t>4. Caso tenha o preço do veículo completo (chassi + carroceria) por categoria, utilize qualquer um dos campos ( preço do chassi ou</t>
  </si>
  <si>
    <t>preço da carroceria) para preenchimento.</t>
  </si>
  <si>
    <t>5. É OBRIGATÓRIO o preenchimento de todos os valores relativos à categoria do veículo (Leve, Pesado e Especial) que  se  tenha</t>
  </si>
  <si>
    <t>dados, com exceção à frota que está dividida por chassi e carroceria.</t>
  </si>
  <si>
    <t>Caso a informação esteja de acordo com a encontrada no volume do GT (chassi + carroceria), utilize a(s)  coluna(s)  "chassi"  para</t>
  </si>
  <si>
    <t>entrada do número de veículos da frota correspondente, para cada categoria de veículo (Leve, Pesado e Especial) existente.</t>
  </si>
  <si>
    <t>6. É fornecido a visualização para consulta dos limites (inferior e superior) dos coeficientes, dos encargos e dos fatores de utilização.</t>
  </si>
  <si>
    <t>Esses limites, sugeridos pelo GT, não impedem que sejam colocados valores acima ou abaixo deles nas células determinadas.</t>
  </si>
  <si>
    <t>7. Certifique-se de que a impressora esteja configurada para impressão em papel A4 (210 x 297 mm).</t>
  </si>
  <si>
    <t>8. Consulte  o  volume   "Cálculo  de  Tarifas de Ônibus Urbanos  -  Instruções  Práticas  Atualizadas",  citado  na  instrução,  para</t>
  </si>
  <si>
    <t>informações mais detalhadas.</t>
  </si>
  <si>
    <t>MENU PRINCIPAL</t>
  </si>
  <si>
    <t>Vai para o Menu de Entrada de Dados</t>
  </si>
  <si>
    <t>Visualiza as tabelas de Custo de Capital</t>
  </si>
  <si>
    <t>Visualiza a tabela de Resumo do Cálculo Final da Tarifa</t>
  </si>
  <si>
    <t>Salva planilha (Salvar Como) com nome dado no campo Nome do Arquivo, no Menu</t>
  </si>
  <si>
    <t>de Entrada de Dados</t>
  </si>
  <si>
    <t>Salva a planilha existente ou anteriormente salva com a opção acima</t>
  </si>
  <si>
    <t>Imprime Planilha Completa (Dados de Entrada e Resumo do Cálculo Final da Tarifa)</t>
  </si>
  <si>
    <t>Imprime o Resumo do Cálculo Final da Tarifa</t>
  </si>
  <si>
    <t>Retorna à Tela Inicial.</t>
  </si>
  <si>
    <t>MENU DE ENTRADA DE DADOS</t>
  </si>
  <si>
    <t>FEVEREIRO/2014</t>
  </si>
  <si>
    <t>Entre com a Data de Referência</t>
  </si>
  <si>
    <t>SANTA MARIA</t>
  </si>
  <si>
    <t>Entre com o Nome da Empresa / Cidade / etc.</t>
  </si>
  <si>
    <t>SSTT</t>
  </si>
  <si>
    <t>Entre com Nome do Arquivo (Até 8 dígitos p/ versão anterior ao Windows 95)</t>
  </si>
  <si>
    <t>Atenção: A introdução de dados só será possível nas células com este padrão de cor.</t>
  </si>
  <si>
    <t>Vai para a planilha de Insumos Básicos</t>
  </si>
  <si>
    <t>Vai para a planilha de Dados Operacionais</t>
  </si>
  <si>
    <t>Vai para a planilha de Coeficientes e Percentuais</t>
  </si>
  <si>
    <t>Retorna ao Menu Principal</t>
  </si>
  <si>
    <t>INSUMOS BÁSICOS *</t>
  </si>
  <si>
    <t>Preço de um litro de combustível</t>
  </si>
  <si>
    <t>Salário base mensal de motorista</t>
  </si>
  <si>
    <t>Preço de um pneu novo para veículo leve</t>
  </si>
  <si>
    <t>Salário base mensal de cobrador</t>
  </si>
  <si>
    <t>Preço de um pneu novo p/veículo pesado</t>
  </si>
  <si>
    <t>Salário base mensal de fiscal/despachante</t>
  </si>
  <si>
    <t>Preço de um pneu novo p/veículo especial</t>
  </si>
  <si>
    <t>Benefício mensal total</t>
  </si>
  <si>
    <t>Preço de uma recapagem para veículo leve</t>
  </si>
  <si>
    <t>Remuneração mensal total da diretoria</t>
  </si>
  <si>
    <t>Preço de uma recapagem p/veículo pesado</t>
  </si>
  <si>
    <t>Despesa anual (Frota Total) c/seguro resp. civil</t>
  </si>
  <si>
    <t>Preço de uma recapagem p/veículo especial</t>
  </si>
  <si>
    <t>Despesa anual com seguro obrigatório por veículo</t>
  </si>
  <si>
    <t>Preço de uma câmara-de-ar para veículo leve</t>
  </si>
  <si>
    <t>Despesa anual (Frota Total) com o IPVA</t>
  </si>
  <si>
    <t>Preço de uma câmara-de-ar p/veículo pesado</t>
  </si>
  <si>
    <t>Preço de uma câmara-de-ar p/veículo especial</t>
  </si>
  <si>
    <t>*</t>
  </si>
  <si>
    <t>Valores em R$</t>
  </si>
  <si>
    <t>Preço de um protetor para veículo leve</t>
  </si>
  <si>
    <t>Preço de um protetor para veículo pesado</t>
  </si>
  <si>
    <t>Preço de um protetor para veículo especial</t>
  </si>
  <si>
    <t>Preço ponderado de um chassi novo p/veículo leve</t>
  </si>
  <si>
    <t>Preço ponderado de um chassi novo p/veíc. pesado</t>
  </si>
  <si>
    <t>Preço ponderado de um chassi novo p/veíc. especial</t>
  </si>
  <si>
    <t>Preço ponderado de uma carroceria nova p/veíc. leve</t>
  </si>
  <si>
    <t>Preço ponderado de uma carroceria nova p/veíc. pesado</t>
  </si>
  <si>
    <t>Preço ponderado de uma carroceria nova p/veíc. especial</t>
  </si>
  <si>
    <t>DADOS OPERACIONAIS</t>
  </si>
  <si>
    <t>Faixa</t>
  </si>
  <si>
    <t>Frota Total Veíc. Leve</t>
  </si>
  <si>
    <t>Frota Total Veíc. Pesado</t>
  </si>
  <si>
    <t>Frota Total Veíc. Especial</t>
  </si>
  <si>
    <t>(anos)</t>
  </si>
  <si>
    <t>Chassi</t>
  </si>
  <si>
    <t>Carroceria</t>
  </si>
  <si>
    <t>0 - 1</t>
  </si>
  <si>
    <t>Frota Reserva (veículos)</t>
  </si>
  <si>
    <t>1 - 2</t>
  </si>
  <si>
    <t>Passageiros Transp. Com Desconto (pass./mês)</t>
  </si>
  <si>
    <t>2 - 3</t>
  </si>
  <si>
    <t>Desconto (%)</t>
  </si>
  <si>
    <t>3 - 4</t>
  </si>
  <si>
    <t>Passageiros Transp. Sem Desconto (pass./mês)</t>
  </si>
  <si>
    <t>4 - 5</t>
  </si>
  <si>
    <t>Quilometragem Produtiva (km/mês)</t>
  </si>
  <si>
    <t>5 - 6</t>
  </si>
  <si>
    <t>Quilometragem Improdutiva (km/mês)</t>
  </si>
  <si>
    <t>6 - 7</t>
  </si>
  <si>
    <t>7 - 8</t>
  </si>
  <si>
    <t>PMM</t>
  </si>
  <si>
    <t>8 - 9</t>
  </si>
  <si>
    <t>IPK</t>
  </si>
  <si>
    <t>9 - 10</t>
  </si>
  <si>
    <t>10 - 11</t>
  </si>
  <si>
    <t>11 - 12</t>
  </si>
  <si>
    <t>+de 12</t>
  </si>
  <si>
    <t>Frota Leve</t>
  </si>
  <si>
    <t>Frota Pesado</t>
  </si>
  <si>
    <t>Frota Especial</t>
  </si>
  <si>
    <t>Frota Total</t>
  </si>
  <si>
    <t>Frota Operante</t>
  </si>
  <si>
    <t>COEFICIENTES E PERCENTUAIS</t>
  </si>
  <si>
    <t>Custo Variável</t>
  </si>
  <si>
    <t>Custo Fixo</t>
  </si>
  <si>
    <t>(l/km)</t>
  </si>
  <si>
    <t>Coef. consumo combustível p/veíc. leve</t>
  </si>
  <si>
    <t>Vida economicamente útil veículo leve</t>
  </si>
  <si>
    <t>Coef. consumo combustível p/veíc. pesado</t>
  </si>
  <si>
    <t>Vida economicamente útil veíc. pesado</t>
  </si>
  <si>
    <t>Coef. consumo combustível p/veíc. especial</t>
  </si>
  <si>
    <t>Vida economicamente útil veíc. especial</t>
  </si>
  <si>
    <t>Coeficiente de consumo de lubrificantes</t>
  </si>
  <si>
    <t>(%)</t>
  </si>
  <si>
    <t>Valor residual do veículo leve</t>
  </si>
  <si>
    <t>(%/mês)</t>
  </si>
  <si>
    <t>Coef. cons. peças e acessórios p/veíc. leve</t>
  </si>
  <si>
    <t>Valor residual do veículo pesado</t>
  </si>
  <si>
    <t>Coef. cons. peças e acessórios p/veíc. pesado</t>
  </si>
  <si>
    <t>Valor residual do veículo especial</t>
  </si>
  <si>
    <t>Coef. cons. peças e acessórios p/veíc. especial</t>
  </si>
  <si>
    <t>Taxa de juros</t>
  </si>
  <si>
    <t>(unid.)</t>
  </si>
  <si>
    <t>Número de recapagens para veículo leve</t>
  </si>
  <si>
    <t xml:space="preserve">Encargo social de motorista </t>
  </si>
  <si>
    <t>Número de recapagens para veículo pesado</t>
  </si>
  <si>
    <t>Encargo social de cobrador</t>
  </si>
  <si>
    <t>Número de recapagens para veículo especial</t>
  </si>
  <si>
    <t>Encargo social de fiscal/despachante</t>
  </si>
  <si>
    <t>(km)</t>
  </si>
  <si>
    <t>Vida útil total do pneu para veículo leve</t>
  </si>
  <si>
    <t>(H/veíc.)</t>
  </si>
  <si>
    <t>Fator de Utilização de motorista</t>
  </si>
  <si>
    <t>Vida útil total do pneu para veículo pesado</t>
  </si>
  <si>
    <t>Fator de Utilização de cobrador</t>
  </si>
  <si>
    <t>Vida útil total do pneu para veículo especial</t>
  </si>
  <si>
    <t>Fator de Utilização de fiscal/despachante</t>
  </si>
  <si>
    <t>(%/Pes.Op.)</t>
  </si>
  <si>
    <t>Coeficiente de pessoal de manutenção</t>
  </si>
  <si>
    <t>Coeficiente de pessoal administrativo</t>
  </si>
  <si>
    <t>(%/PVN)</t>
  </si>
  <si>
    <t>Coeficiente de despesas gerais</t>
  </si>
  <si>
    <t>Soma das alíquotas sobre a receita (Tributos)</t>
  </si>
  <si>
    <t>FATOR DE DEPRECIAÇÃO/REMUNERAÇÃO ANUAL POR TIPO DE VEÍCULO</t>
  </si>
  <si>
    <t>Veículo Leve</t>
  </si>
  <si>
    <t>Veículo Pesado</t>
  </si>
  <si>
    <t>Veículo Especial</t>
  </si>
  <si>
    <t>Etária</t>
  </si>
  <si>
    <t>Depreciação</t>
  </si>
  <si>
    <t>Remuneração</t>
  </si>
  <si>
    <t>Coeficiente</t>
  </si>
  <si>
    <t>Coef.Acum.</t>
  </si>
  <si>
    <t>Fator Rem.</t>
  </si>
  <si>
    <t xml:space="preserve">    0 -   1</t>
  </si>
  <si>
    <t xml:space="preserve">    1 -   2</t>
  </si>
  <si>
    <t xml:space="preserve">    2 -   3</t>
  </si>
  <si>
    <t xml:space="preserve">    3 -   4</t>
  </si>
  <si>
    <t xml:space="preserve">    4 -   5 </t>
  </si>
  <si>
    <t xml:space="preserve">    5 -   6</t>
  </si>
  <si>
    <t xml:space="preserve">    6 -   7</t>
  </si>
  <si>
    <t xml:space="preserve">    7 -   8</t>
  </si>
  <si>
    <t xml:space="preserve">    8 -   9</t>
  </si>
  <si>
    <t xml:space="preserve">    9 -  10</t>
  </si>
  <si>
    <t xml:space="preserve">   10 - 11</t>
  </si>
  <si>
    <t xml:space="preserve">   11 - 12</t>
  </si>
  <si>
    <t xml:space="preserve">  + de 12</t>
  </si>
  <si>
    <t>RESUMO DO CÁLCULO FINAL DA TARIFA</t>
  </si>
  <si>
    <t>R$/v./mês</t>
  </si>
  <si>
    <t>R$/mês</t>
  </si>
  <si>
    <t>R$/km</t>
  </si>
  <si>
    <t>% Custo</t>
  </si>
  <si>
    <t>% Total</t>
  </si>
  <si>
    <t>% c/Trib.</t>
  </si>
  <si>
    <t>Combustível</t>
  </si>
  <si>
    <t>Lubrificantes</t>
  </si>
  <si>
    <t>Rodagem</t>
  </si>
  <si>
    <t>Peças e Acessórios</t>
  </si>
  <si>
    <t>Custo Variável Total</t>
  </si>
  <si>
    <t>Tarifa</t>
  </si>
  <si>
    <t xml:space="preserve">   Veículos</t>
  </si>
  <si>
    <t>R$</t>
  </si>
  <si>
    <t xml:space="preserve">   Máq. Inst. e Equipamentos</t>
  </si>
  <si>
    <t xml:space="preserve">   Almoxarifado</t>
  </si>
  <si>
    <t xml:space="preserve">Despesas com Pessoal </t>
  </si>
  <si>
    <t xml:space="preserve">   Operação</t>
  </si>
  <si>
    <t xml:space="preserve">   Manutenção</t>
  </si>
  <si>
    <t xml:space="preserve">   Administrativo</t>
  </si>
  <si>
    <t xml:space="preserve">   Benefícios</t>
  </si>
  <si>
    <t xml:space="preserve">   Remuneração Diretoria</t>
  </si>
  <si>
    <t>Despesas Administrativas</t>
  </si>
  <si>
    <t xml:space="preserve">   Gerais</t>
  </si>
  <si>
    <t xml:space="preserve">   Seguro Resp. Civil</t>
  </si>
  <si>
    <t xml:space="preserve">   Seguro Obrigatório </t>
  </si>
  <si>
    <t xml:space="preserve">   IPVA</t>
  </si>
  <si>
    <t xml:space="preserve">Custo Fixo Total </t>
  </si>
  <si>
    <t xml:space="preserve">Custo Total </t>
  </si>
  <si>
    <t>Custo Total c/Tributos</t>
  </si>
  <si>
    <t>LIMITES</t>
  </si>
  <si>
    <t>COEFICIENTE DE CONSUMO DE COMBUSTÍVEL (l/km)</t>
  </si>
  <si>
    <t>COEFICIENTE DE PEÇAS E ACESSÓRIOS</t>
  </si>
  <si>
    <t>Limite Inferior</t>
  </si>
  <si>
    <t>Limite Superior</t>
  </si>
  <si>
    <t>Leve</t>
  </si>
  <si>
    <t>Pesado</t>
  </si>
  <si>
    <t>Especial</t>
  </si>
  <si>
    <t>FATOR DE UTILIZAÇÃO</t>
  </si>
  <si>
    <t>COEFICIENTE DE CONSUMO DE LUBRIFICANTES (l/km)</t>
  </si>
  <si>
    <t>Motorista</t>
  </si>
  <si>
    <t>Cobrador</t>
  </si>
  <si>
    <t>Fiscal / Desp.</t>
  </si>
  <si>
    <t>NÚMERO DE RECAPAGENS (unid.)</t>
  </si>
  <si>
    <t>COEFICIENTES CATEGORIA DO PESSOAL</t>
  </si>
  <si>
    <t>Pneu Diagonal</t>
  </si>
  <si>
    <t>Manutenção</t>
  </si>
  <si>
    <t>Pneu Radial</t>
  </si>
  <si>
    <t>Administrativo</t>
  </si>
  <si>
    <t>VIDA ÚTIL (km)</t>
  </si>
  <si>
    <t>COEFICIENTE DESPESAS ADMINISTRATIVAS</t>
  </si>
  <si>
    <t>Empresa / Cidade:</t>
  </si>
  <si>
    <t>Data Referência:</t>
  </si>
  <si>
    <t>A. PREÇOS E SALÁRIOS</t>
  </si>
  <si>
    <t>Valor</t>
  </si>
  <si>
    <t>A1. Combustível (R$/l)</t>
  </si>
  <si>
    <t>A2. Rodagem (R$/unidade)</t>
  </si>
  <si>
    <t>Pneu</t>
  </si>
  <si>
    <t>Recapagem</t>
  </si>
  <si>
    <t>Câmara Ar</t>
  </si>
  <si>
    <t>Protetor</t>
  </si>
  <si>
    <t>V. Útil (km)</t>
  </si>
  <si>
    <t>Nº Recap.</t>
  </si>
  <si>
    <t>A3. Veículos (R$/unidade)</t>
  </si>
  <si>
    <t>Lim. Inferior</t>
  </si>
  <si>
    <t>Lim. Superior</t>
  </si>
  <si>
    <t>V.Útil    Diag.</t>
  </si>
  <si>
    <t xml:space="preserve">              Radial</t>
  </si>
  <si>
    <t>Recap.  Diag.</t>
  </si>
  <si>
    <t>A4. Salário Médio (R$/mês)</t>
  </si>
  <si>
    <t>Fiscal / Despachante</t>
  </si>
  <si>
    <t>A5. Benefício Total (R$/mês)</t>
  </si>
  <si>
    <t>A6. Remuneração Diretoria (R$/mês)</t>
  </si>
  <si>
    <t>A7. Despesas (R$/ano)</t>
  </si>
  <si>
    <t>Seguro Resp.Civil da Frota Total</t>
  </si>
  <si>
    <t>Seguro Obrigatório por Veículo</t>
  </si>
  <si>
    <t>IPVA da Frota Total</t>
  </si>
  <si>
    <t>B. DADOS OPERACIONAIS</t>
  </si>
  <si>
    <t>Pass./mês</t>
  </si>
  <si>
    <t>B1. Passageiros Transp. (média 12 meses)</t>
  </si>
  <si>
    <t>%</t>
  </si>
  <si>
    <t>Com Desconto  (x%)</t>
  </si>
  <si>
    <t>x =</t>
  </si>
  <si>
    <t>Sem Desconto</t>
  </si>
  <si>
    <t>Passageiro Equivalente</t>
  </si>
  <si>
    <t>B2. Frota (veículos)</t>
  </si>
  <si>
    <t>Faixa Etária</t>
  </si>
  <si>
    <t>Veículo Tipo Leve</t>
  </si>
  <si>
    <t>Veículo Tipo Pesado</t>
  </si>
  <si>
    <t>Veículo Tipo Especial</t>
  </si>
  <si>
    <t>Frota</t>
  </si>
  <si>
    <t>Total</t>
  </si>
  <si>
    <t xml:space="preserve">     0 -   1</t>
  </si>
  <si>
    <t xml:space="preserve">     1 -   2</t>
  </si>
  <si>
    <t xml:space="preserve">     2 -   3</t>
  </si>
  <si>
    <t xml:space="preserve">     3 -   4 </t>
  </si>
  <si>
    <t xml:space="preserve">     4 -   5</t>
  </si>
  <si>
    <t xml:space="preserve">     5 -   6</t>
  </si>
  <si>
    <t xml:space="preserve">     6 -   7</t>
  </si>
  <si>
    <t xml:space="preserve">     7 -   8</t>
  </si>
  <si>
    <t xml:space="preserve">     8 -   9</t>
  </si>
  <si>
    <t xml:space="preserve">     9 - 10</t>
  </si>
  <si>
    <t xml:space="preserve">   +de 12</t>
  </si>
  <si>
    <t>Fr. Reserva</t>
  </si>
  <si>
    <t>Fr. Operante</t>
  </si>
  <si>
    <t>km/mês</t>
  </si>
  <si>
    <t>B3. Quilometragem Percorrida (km/mês)</t>
  </si>
  <si>
    <t>Idade Média</t>
  </si>
  <si>
    <t>Produtiva (média 12 meses)</t>
  </si>
  <si>
    <t>Improdutiva</t>
  </si>
  <si>
    <t>B4. Percurso Médio Mensal</t>
  </si>
  <si>
    <t>PMM (km/veíc. x mês)</t>
  </si>
  <si>
    <t>B5. Índice de Passageiros Equivalentes</t>
  </si>
  <si>
    <t>IPKe (Pass./km)</t>
  </si>
  <si>
    <t>C. CUSTO VARIÁVEL</t>
  </si>
  <si>
    <t>Coef.(l/km)</t>
  </si>
  <si>
    <t>Coef. Consumo (l/km)</t>
  </si>
  <si>
    <t>C1. Combustível</t>
  </si>
  <si>
    <t>0,50</t>
  </si>
  <si>
    <t>C2. Lubrificantes</t>
  </si>
  <si>
    <t>Coef. Cons. Equiv. (l/km)</t>
  </si>
  <si>
    <t>Câm.de Ar</t>
  </si>
  <si>
    <t>C3. Rodagem</t>
  </si>
  <si>
    <t>Coef. Cons.</t>
  </si>
  <si>
    <t>C4. Peças e Acessórios</t>
  </si>
  <si>
    <t>Total(R$/km)</t>
  </si>
  <si>
    <t>Coef. Cons.(%/Preço Veíc.)</t>
  </si>
  <si>
    <t>D. CUSTO FIXO</t>
  </si>
  <si>
    <t>D1. Custo de Capital (Depreciação e Remuneração)</t>
  </si>
  <si>
    <t>Preço Veículo com Rodagem (R$)</t>
  </si>
  <si>
    <t>Preço Veículo Menos Rodagem (R$)</t>
  </si>
  <si>
    <t>Vida Economicamente Útil (anos)</t>
  </si>
  <si>
    <t>Valor Residual (%)</t>
  </si>
  <si>
    <t>Taxa de Juros (%)</t>
  </si>
  <si>
    <t>Fator de Depreciação / Remuneração Anual por Tipo de Veículo</t>
  </si>
  <si>
    <t>Fator Remun.</t>
  </si>
  <si>
    <t>Coef.Acumul.</t>
  </si>
  <si>
    <t>Coef. Acumul.</t>
  </si>
  <si>
    <t>Custo de Capital (Depreciação e Remuneração) por Tipo de Veículo</t>
  </si>
  <si>
    <t>Depreciação / Remuneração</t>
  </si>
  <si>
    <t xml:space="preserve">   Depreciação</t>
  </si>
  <si>
    <t>Coeficiente Anual</t>
  </si>
  <si>
    <t>Anual da Frota</t>
  </si>
  <si>
    <t>(R$/ano)</t>
  </si>
  <si>
    <t>Anual por Veículo</t>
  </si>
  <si>
    <t>(R$/v./ano)</t>
  </si>
  <si>
    <t>Mensal por Veículo</t>
  </si>
  <si>
    <t>(R$/v./mês)</t>
  </si>
  <si>
    <t>Máquinas Inst. Equipam.</t>
  </si>
  <si>
    <t>Almoxarifado</t>
  </si>
  <si>
    <t>D2. Despesas com Pessoal</t>
  </si>
  <si>
    <t>Fator de Utilização</t>
  </si>
  <si>
    <t>Enc.Soc.(%)</t>
  </si>
  <si>
    <t>Pessoal de Operação</t>
  </si>
  <si>
    <t>Fator Utiliz.</t>
  </si>
  <si>
    <t>R$/v.mês</t>
  </si>
  <si>
    <t xml:space="preserve">   Motorista</t>
  </si>
  <si>
    <t>(Operação)</t>
  </si>
  <si>
    <t>2,20</t>
  </si>
  <si>
    <t>2,80</t>
  </si>
  <si>
    <t xml:space="preserve">   Cobrador</t>
  </si>
  <si>
    <t xml:space="preserve">   Fiscal / Despachante</t>
  </si>
  <si>
    <t>0,20</t>
  </si>
  <si>
    <t>(Oper.+Manut.)</t>
  </si>
  <si>
    <t>Coef. (% / Pessoal Oper.)</t>
  </si>
  <si>
    <t>Pessoal de Manutenção</t>
  </si>
  <si>
    <t>Pessoal Administrativo</t>
  </si>
  <si>
    <t>Benefícios</t>
  </si>
  <si>
    <t>Remuneração da Diretoria</t>
  </si>
  <si>
    <t>D3. Despesas Administrativas</t>
  </si>
  <si>
    <t>Coef. (% / Preço Veíc.Leve)</t>
  </si>
  <si>
    <t>Despesas Gerais</t>
  </si>
  <si>
    <t>Seguro Responsabilidade Civil</t>
  </si>
  <si>
    <t>Seguro Obrigatório</t>
  </si>
  <si>
    <t>IPVA</t>
  </si>
  <si>
    <t>E. TRIBUTOS</t>
  </si>
  <si>
    <t>E1. Soma das Alíquotas Sobre a Receita</t>
  </si>
  <si>
    <t>F. CÁLCULO DA TARIFA</t>
  </si>
  <si>
    <t>% Tot.c/Trib.</t>
  </si>
  <si>
    <t xml:space="preserve">F1. Custo Variável </t>
  </si>
  <si>
    <t>F2. Custo Fixo</t>
  </si>
  <si>
    <t xml:space="preserve">   Máq. Instal. e Equipam.</t>
  </si>
  <si>
    <t>Desp. Administrativas</t>
  </si>
  <si>
    <t>F3. Custo Total</t>
  </si>
  <si>
    <t>F4. Custo Total c/Tributos</t>
  </si>
  <si>
    <t>F5. Tarifa</t>
  </si>
  <si>
    <t>Insumos (y)</t>
  </si>
  <si>
    <t>Dados_Operacionais (q)</t>
  </si>
  <si>
    <t>Coeficientes (w)</t>
  </si>
  <si>
    <t>Salvar_Como (s)</t>
  </si>
  <si>
    <t>Sair (e)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</si>
</sst>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@"/>
    <numFmt numFmtId="167" formatCode="0.0000"/>
    <numFmt numFmtId="168" formatCode="#,##0.00"/>
    <numFmt numFmtId="169" formatCode="#,##0"/>
    <numFmt numFmtId="170" formatCode="0.00"/>
    <numFmt numFmtId="171" formatCode="#,##0.0000"/>
    <numFmt numFmtId="172" formatCode="0"/>
    <numFmt numFmtId="173" formatCode="#,##0.0"/>
    <numFmt numFmtId="174" formatCode="0.000000"/>
    <numFmt numFmtId="175" formatCode="0.0"/>
    <numFmt numFmtId="176" formatCode="0.00000"/>
  </numFmts>
  <fonts count="22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MS Sans Serif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2"/>
    </font>
    <font>
      <sz val="6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3" fillId="2" borderId="0" xfId="0" applyFont="1" applyFill="1" applyBorder="1" applyAlignment="1" applyProtection="1">
      <alignment/>
      <protection hidden="1"/>
    </xf>
    <xf numFmtId="164" fontId="3" fillId="2" borderId="5" xfId="0" applyFont="1" applyFill="1" applyBorder="1" applyAlignment="1" applyProtection="1">
      <alignment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4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3" fillId="2" borderId="5" xfId="0" applyFont="1" applyFill="1" applyBorder="1" applyAlignment="1" applyProtection="1">
      <alignment horizontal="center"/>
      <protection hidden="1"/>
    </xf>
    <xf numFmtId="164" fontId="2" fillId="3" borderId="9" xfId="0" applyFont="1" applyFill="1" applyBorder="1" applyAlignment="1">
      <alignment/>
    </xf>
    <xf numFmtId="164" fontId="2" fillId="3" borderId="10" xfId="0" applyFont="1" applyFill="1" applyBorder="1" applyAlignment="1">
      <alignment/>
    </xf>
    <xf numFmtId="164" fontId="2" fillId="3" borderId="11" xfId="0" applyFont="1" applyFill="1" applyBorder="1" applyAlignment="1">
      <alignment/>
    </xf>
    <xf numFmtId="164" fontId="5" fillId="0" borderId="0" xfId="0" applyFont="1" applyAlignment="1">
      <alignment horizontal="left"/>
    </xf>
    <xf numFmtId="164" fontId="6" fillId="3" borderId="12" xfId="0" applyFont="1" applyFill="1" applyBorder="1" applyAlignment="1">
      <alignment horizontal="center"/>
    </xf>
    <xf numFmtId="164" fontId="2" fillId="3" borderId="13" xfId="0" applyFont="1" applyFill="1" applyBorder="1" applyAlignment="1">
      <alignment/>
    </xf>
    <xf numFmtId="164" fontId="2" fillId="3" borderId="14" xfId="0" applyFont="1" applyFill="1" applyBorder="1" applyAlignment="1">
      <alignment/>
    </xf>
    <xf numFmtId="164" fontId="2" fillId="3" borderId="15" xfId="0" applyFont="1" applyFill="1" applyBorder="1" applyAlignment="1">
      <alignment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right"/>
    </xf>
    <xf numFmtId="164" fontId="0" fillId="0" borderId="0" xfId="0" applyAlignment="1">
      <alignment horizontal="center"/>
    </xf>
    <xf numFmtId="165" fontId="5" fillId="0" borderId="0" xfId="0" applyNumberFormat="1" applyFont="1" applyAlignment="1">
      <alignment horizontal="right"/>
    </xf>
    <xf numFmtId="164" fontId="3" fillId="2" borderId="0" xfId="0" applyFont="1" applyFill="1" applyBorder="1" applyAlignment="1" applyProtection="1">
      <alignment horizontal="center"/>
      <protection hidden="1"/>
    </xf>
    <xf numFmtId="164" fontId="2" fillId="2" borderId="5" xfId="0" applyFont="1" applyFill="1" applyBorder="1" applyAlignment="1">
      <alignment/>
    </xf>
    <xf numFmtId="164" fontId="2" fillId="2" borderId="8" xfId="0" applyFont="1" applyFill="1" applyBorder="1" applyAlignment="1">
      <alignment horizontal="right"/>
    </xf>
    <xf numFmtId="164" fontId="2" fillId="2" borderId="0" xfId="0" applyFont="1" applyFill="1" applyBorder="1" applyAlignment="1" applyProtection="1">
      <alignment horizontal="left"/>
      <protection hidden="1"/>
    </xf>
    <xf numFmtId="164" fontId="2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center"/>
    </xf>
    <xf numFmtId="164" fontId="7" fillId="2" borderId="7" xfId="0" applyFont="1" applyFill="1" applyBorder="1" applyAlignment="1">
      <alignment/>
    </xf>
    <xf numFmtId="164" fontId="2" fillId="2" borderId="0" xfId="0" applyFont="1" applyFill="1" applyAlignment="1" applyProtection="1">
      <alignment horizontal="left"/>
      <protection hidden="1"/>
    </xf>
    <xf numFmtId="164" fontId="2" fillId="2" borderId="0" xfId="0" applyFont="1" applyFill="1" applyAlignment="1" applyProtection="1">
      <alignment/>
      <protection hidden="1"/>
    </xf>
    <xf numFmtId="164" fontId="2" fillId="2" borderId="0" xfId="0" applyFont="1" applyFill="1" applyBorder="1" applyAlignment="1">
      <alignment horizont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6" fontId="13" fillId="3" borderId="16" xfId="0" applyNumberFormat="1" applyFont="1" applyFill="1" applyBorder="1" applyAlignment="1" applyProtection="1">
      <alignment horizontal="center" vertical="center"/>
      <protection locked="0"/>
    </xf>
    <xf numFmtId="166" fontId="13" fillId="3" borderId="17" xfId="0" applyNumberFormat="1" applyFont="1" applyFill="1" applyBorder="1" applyAlignment="1" applyProtection="1">
      <alignment horizontal="center" vertical="center"/>
      <protection locked="0"/>
    </xf>
    <xf numFmtId="166" fontId="13" fillId="3" borderId="18" xfId="0" applyNumberFormat="1" applyFont="1" applyFill="1" applyBorder="1" applyAlignment="1" applyProtection="1">
      <alignment horizontal="center" vertical="center"/>
      <protection locked="0"/>
    </xf>
    <xf numFmtId="164" fontId="8" fillId="3" borderId="19" xfId="0" applyFont="1" applyFill="1" applyBorder="1" applyAlignment="1">
      <alignment horizontal="center" vertical="center"/>
    </xf>
    <xf numFmtId="164" fontId="3" fillId="2" borderId="4" xfId="0" applyFont="1" applyFill="1" applyBorder="1" applyAlignment="1" applyProtection="1">
      <alignment horizontal="center"/>
      <protection hidden="1"/>
    </xf>
    <xf numFmtId="164" fontId="5" fillId="0" borderId="0" xfId="0" applyFont="1" applyAlignment="1">
      <alignment/>
    </xf>
    <xf numFmtId="167" fontId="14" fillId="4" borderId="20" xfId="0" applyNumberFormat="1" applyFont="1" applyFill="1" applyBorder="1" applyAlignment="1" applyProtection="1">
      <alignment horizontal="center" vertical="center"/>
      <protection locked="0"/>
    </xf>
    <xf numFmtId="168" fontId="14" fillId="4" borderId="20" xfId="0" applyNumberFormat="1" applyFont="1" applyFill="1" applyBorder="1" applyAlignment="1" applyProtection="1">
      <alignment horizontal="center" vertical="center"/>
      <protection locked="0"/>
    </xf>
    <xf numFmtId="168" fontId="14" fillId="4" borderId="21" xfId="0" applyNumberFormat="1" applyFont="1" applyFill="1" applyBorder="1" applyAlignment="1" applyProtection="1">
      <alignment horizontal="center" vertical="center"/>
      <protection locked="0"/>
    </xf>
    <xf numFmtId="168" fontId="14" fillId="4" borderId="18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Font="1" applyAlignment="1">
      <alignment horizontal="right"/>
    </xf>
    <xf numFmtId="168" fontId="16" fillId="4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/>
    </xf>
    <xf numFmtId="164" fontId="2" fillId="2" borderId="4" xfId="0" applyFont="1" applyFill="1" applyBorder="1" applyAlignment="1">
      <alignment horizontal="center"/>
    </xf>
    <xf numFmtId="164" fontId="17" fillId="0" borderId="0" xfId="0" applyFont="1" applyBorder="1" applyAlignment="1" applyProtection="1">
      <alignment horizontal="center"/>
      <protection hidden="1"/>
    </xf>
    <xf numFmtId="164" fontId="5" fillId="0" borderId="0" xfId="0" applyFont="1" applyBorder="1" applyAlignment="1">
      <alignment horizontal="center"/>
    </xf>
    <xf numFmtId="164" fontId="17" fillId="0" borderId="0" xfId="0" applyFont="1" applyBorder="1" applyAlignment="1" applyProtection="1">
      <alignment horizontal="center" vertical="top"/>
      <protection hidden="1"/>
    </xf>
    <xf numFmtId="164" fontId="5" fillId="0" borderId="0" xfId="0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9" fontId="14" fillId="4" borderId="22" xfId="0" applyNumberFormat="1" applyFont="1" applyFill="1" applyBorder="1" applyAlignment="1" applyProtection="1">
      <alignment horizontal="center" vertical="center"/>
      <protection locked="0"/>
    </xf>
    <xf numFmtId="169" fontId="14" fillId="4" borderId="23" xfId="0" applyNumberFormat="1" applyFont="1" applyFill="1" applyBorder="1" applyAlignment="1" applyProtection="1">
      <alignment horizontal="center" vertical="center"/>
      <protection locked="0"/>
    </xf>
    <xf numFmtId="169" fontId="14" fillId="4" borderId="20" xfId="0" applyNumberFormat="1" applyFont="1" applyFill="1" applyBorder="1" applyAlignment="1" applyProtection="1">
      <alignment horizontal="center" vertical="center"/>
      <protection locked="0"/>
    </xf>
    <xf numFmtId="169" fontId="14" fillId="4" borderId="24" xfId="0" applyNumberFormat="1" applyFont="1" applyFill="1" applyBorder="1" applyAlignment="1" applyProtection="1">
      <alignment horizontal="center" vertical="center"/>
      <protection locked="0"/>
    </xf>
    <xf numFmtId="169" fontId="14" fillId="4" borderId="25" xfId="0" applyNumberFormat="1" applyFont="1" applyFill="1" applyBorder="1" applyAlignment="1" applyProtection="1">
      <alignment horizontal="center" vertical="center"/>
      <protection locked="0"/>
    </xf>
    <xf numFmtId="169" fontId="14" fillId="4" borderId="21" xfId="0" applyNumberFormat="1" applyFont="1" applyFill="1" applyBorder="1" applyAlignment="1" applyProtection="1">
      <alignment horizontal="center" vertical="center"/>
      <protection locked="0"/>
    </xf>
    <xf numFmtId="170" fontId="14" fillId="4" borderId="21" xfId="0" applyNumberFormat="1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Alignment="1" applyProtection="1">
      <alignment/>
      <protection hidden="1"/>
    </xf>
    <xf numFmtId="168" fontId="5" fillId="0" borderId="0" xfId="0" applyNumberFormat="1" applyFont="1" applyAlignment="1" applyProtection="1">
      <alignment horizontal="left"/>
      <protection hidden="1"/>
    </xf>
    <xf numFmtId="167" fontId="5" fillId="0" borderId="0" xfId="0" applyNumberFormat="1" applyFont="1" applyAlignment="1" applyProtection="1">
      <alignment/>
      <protection hidden="1"/>
    </xf>
    <xf numFmtId="171" fontId="5" fillId="0" borderId="0" xfId="0" applyNumberFormat="1" applyFont="1" applyAlignment="1" applyProtection="1">
      <alignment horizontal="left"/>
      <protection hidden="1"/>
    </xf>
    <xf numFmtId="169" fontId="14" fillId="4" borderId="26" xfId="0" applyNumberFormat="1" applyFont="1" applyFill="1" applyBorder="1" applyAlignment="1" applyProtection="1">
      <alignment horizontal="center" vertical="center"/>
      <protection locked="0"/>
    </xf>
    <xf numFmtId="169" fontId="14" fillId="4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right"/>
      <protection hidden="1"/>
    </xf>
    <xf numFmtId="169" fontId="17" fillId="0" borderId="0" xfId="0" applyNumberFormat="1" applyFont="1" applyBorder="1" applyAlignment="1" applyProtection="1">
      <alignment horizontal="center"/>
      <protection hidden="1"/>
    </xf>
    <xf numFmtId="164" fontId="0" fillId="0" borderId="0" xfId="0" applyBorder="1" applyAlignment="1">
      <alignment/>
    </xf>
    <xf numFmtId="164" fontId="5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5" fillId="0" borderId="10" xfId="0" applyNumberFormat="1" applyFont="1" applyBorder="1" applyAlignment="1" applyProtection="1">
      <alignment horizontal="left"/>
      <protection hidden="1"/>
    </xf>
    <xf numFmtId="164" fontId="5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17" fillId="0" borderId="0" xfId="0" applyFont="1" applyBorder="1" applyAlignment="1">
      <alignment/>
    </xf>
    <xf numFmtId="164" fontId="5" fillId="0" borderId="27" xfId="0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 hidden="1"/>
    </xf>
    <xf numFmtId="164" fontId="5" fillId="0" borderId="0" xfId="0" applyFont="1" applyBorder="1" applyAlignment="1">
      <alignment/>
    </xf>
    <xf numFmtId="164" fontId="2" fillId="0" borderId="28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 hidden="1"/>
    </xf>
    <xf numFmtId="164" fontId="5" fillId="0" borderId="13" xfId="0" applyFont="1" applyBorder="1" applyAlignment="1">
      <alignment/>
    </xf>
    <xf numFmtId="164" fontId="2" fillId="0" borderId="14" xfId="0" applyFont="1" applyBorder="1" applyAlignment="1">
      <alignment/>
    </xf>
    <xf numFmtId="169" fontId="5" fillId="0" borderId="14" xfId="0" applyNumberFormat="1" applyFont="1" applyBorder="1" applyAlignment="1" applyProtection="1">
      <alignment horizontal="left"/>
      <protection hidden="1"/>
    </xf>
    <xf numFmtId="164" fontId="5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13" fillId="0" borderId="0" xfId="0" applyFont="1" applyAlignment="1">
      <alignment/>
    </xf>
    <xf numFmtId="172" fontId="14" fillId="4" borderId="20" xfId="0" applyNumberFormat="1" applyFont="1" applyFill="1" applyBorder="1" applyAlignment="1" applyProtection="1">
      <alignment horizontal="center" vertical="center"/>
      <protection locked="0"/>
    </xf>
    <xf numFmtId="167" fontId="14" fillId="4" borderId="21" xfId="0" applyNumberFormat="1" applyFont="1" applyFill="1" applyBorder="1" applyAlignment="1" applyProtection="1">
      <alignment horizontal="center" vertical="center"/>
      <protection locked="0"/>
    </xf>
    <xf numFmtId="172" fontId="14" fillId="4" borderId="21" xfId="0" applyNumberFormat="1" applyFont="1" applyFill="1" applyBorder="1" applyAlignment="1" applyProtection="1">
      <alignment horizontal="center" vertical="center"/>
      <protection locked="0"/>
    </xf>
    <xf numFmtId="171" fontId="14" fillId="4" borderId="21" xfId="0" applyNumberFormat="1" applyFont="1" applyFill="1" applyBorder="1" applyAlignment="1" applyProtection="1">
      <alignment horizontal="center" vertical="center"/>
      <protection locked="0"/>
    </xf>
    <xf numFmtId="173" fontId="5" fillId="4" borderId="21" xfId="0" applyNumberFormat="1" applyFont="1" applyFill="1" applyBorder="1" applyAlignment="1" applyProtection="1">
      <alignment horizontal="center" vertical="center"/>
      <protection/>
    </xf>
    <xf numFmtId="169" fontId="14" fillId="4" borderId="18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left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164" fontId="11" fillId="0" borderId="0" xfId="0" applyFont="1" applyAlignment="1" applyProtection="1">
      <alignment/>
      <protection hidden="1"/>
    </xf>
    <xf numFmtId="164" fontId="11" fillId="0" borderId="10" xfId="0" applyFont="1" applyBorder="1" applyAlignment="1" applyProtection="1">
      <alignment horizontal="center"/>
      <protection hidden="1"/>
    </xf>
    <xf numFmtId="170" fontId="16" fillId="0" borderId="29" xfId="0" applyNumberFormat="1" applyFont="1" applyBorder="1" applyAlignment="1" applyProtection="1">
      <alignment horizontal="center"/>
      <protection hidden="1"/>
    </xf>
    <xf numFmtId="164" fontId="16" fillId="0" borderId="29" xfId="0" applyFont="1" applyBorder="1" applyAlignment="1" applyProtection="1">
      <alignment horizontal="center"/>
      <protection hidden="1"/>
    </xf>
    <xf numFmtId="164" fontId="11" fillId="0" borderId="0" xfId="0" applyFont="1" applyBorder="1" applyAlignment="1" applyProtection="1">
      <alignment horizontal="center"/>
      <protection hidden="1"/>
    </xf>
    <xf numFmtId="164" fontId="11" fillId="5" borderId="30" xfId="0" applyFont="1" applyFill="1" applyBorder="1" applyAlignment="1" applyProtection="1">
      <alignment horizontal="center" vertical="center"/>
      <protection hidden="1"/>
    </xf>
    <xf numFmtId="164" fontId="11" fillId="5" borderId="31" xfId="0" applyFont="1" applyFill="1" applyBorder="1" applyAlignment="1" applyProtection="1">
      <alignment horizontal="center" vertical="center"/>
      <protection hidden="1"/>
    </xf>
    <xf numFmtId="164" fontId="11" fillId="5" borderId="30" xfId="0" applyFont="1" applyFill="1" applyBorder="1" applyAlignment="1" applyProtection="1">
      <alignment horizontal="center"/>
      <protection hidden="1"/>
    </xf>
    <xf numFmtId="164" fontId="11" fillId="5" borderId="31" xfId="0" applyFont="1" applyFill="1" applyBorder="1" applyAlignment="1" applyProtection="1">
      <alignment horizontal="center"/>
      <protection hidden="1"/>
    </xf>
    <xf numFmtId="164" fontId="11" fillId="0" borderId="14" xfId="0" applyFont="1" applyBorder="1" applyAlignment="1" applyProtection="1">
      <alignment horizontal="center"/>
      <protection hidden="1"/>
    </xf>
    <xf numFmtId="164" fontId="11" fillId="5" borderId="13" xfId="0" applyFont="1" applyFill="1" applyBorder="1" applyAlignment="1" applyProtection="1">
      <alignment horizontal="center"/>
      <protection hidden="1"/>
    </xf>
    <xf numFmtId="164" fontId="11" fillId="5" borderId="32" xfId="0" applyFont="1" applyFill="1" applyBorder="1" applyAlignment="1" applyProtection="1">
      <alignment horizontal="center"/>
      <protection hidden="1"/>
    </xf>
    <xf numFmtId="174" fontId="11" fillId="2" borderId="30" xfId="0" applyNumberFormat="1" applyFont="1" applyFill="1" applyBorder="1" applyAlignment="1" applyProtection="1">
      <alignment horizontal="left"/>
      <protection hidden="1"/>
    </xf>
    <xf numFmtId="174" fontId="11" fillId="2" borderId="33" xfId="0" applyNumberFormat="1" applyFont="1" applyFill="1" applyBorder="1" applyAlignment="1" applyProtection="1">
      <alignment horizontal="left"/>
      <protection hidden="1"/>
    </xf>
    <xf numFmtId="174" fontId="11" fillId="2" borderId="34" xfId="0" applyNumberFormat="1" applyFont="1" applyFill="1" applyBorder="1" applyAlignment="1" applyProtection="1">
      <alignment horizontal="left"/>
      <protection hidden="1"/>
    </xf>
    <xf numFmtId="164" fontId="11" fillId="0" borderId="14" xfId="0" applyFont="1" applyBorder="1" applyAlignment="1" applyProtection="1">
      <alignment horizontal="left"/>
      <protection hidden="1"/>
    </xf>
    <xf numFmtId="174" fontId="11" fillId="2" borderId="13" xfId="0" applyNumberFormat="1" applyFont="1" applyFill="1" applyBorder="1" applyAlignment="1" applyProtection="1">
      <alignment horizontal="left"/>
      <protection hidden="1"/>
    </xf>
    <xf numFmtId="174" fontId="11" fillId="2" borderId="35" xfId="0" applyNumberFormat="1" applyFont="1" applyFill="1" applyBorder="1" applyAlignment="1" applyProtection="1">
      <alignment horizontal="left"/>
      <protection hidden="1"/>
    </xf>
    <xf numFmtId="174" fontId="11" fillId="2" borderId="14" xfId="0" applyNumberFormat="1" applyFont="1" applyFill="1" applyBorder="1" applyAlignment="1" applyProtection="1">
      <alignment horizontal="left"/>
      <protection hidden="1"/>
    </xf>
    <xf numFmtId="164" fontId="3" fillId="2" borderId="36" xfId="0" applyFont="1" applyFill="1" applyBorder="1" applyAlignment="1" applyProtection="1">
      <alignment horizontal="center"/>
      <protection hidden="1"/>
    </xf>
    <xf numFmtId="164" fontId="11" fillId="0" borderId="37" xfId="0" applyFont="1" applyBorder="1" applyAlignment="1" applyProtection="1">
      <alignment/>
      <protection hidden="1"/>
    </xf>
    <xf numFmtId="164" fontId="2" fillId="0" borderId="37" xfId="0" applyFont="1" applyBorder="1" applyAlignment="1" applyProtection="1">
      <alignment/>
      <protection hidden="1"/>
    </xf>
    <xf numFmtId="164" fontId="14" fillId="0" borderId="37" xfId="0" applyFont="1" applyBorder="1" applyAlignment="1" applyProtection="1">
      <alignment horizontal="right"/>
      <protection hidden="1"/>
    </xf>
    <xf numFmtId="164" fontId="11" fillId="0" borderId="34" xfId="0" applyFont="1" applyBorder="1" applyAlignment="1" applyProtection="1">
      <alignment/>
      <protection hidden="1"/>
    </xf>
    <xf numFmtId="164" fontId="5" fillId="0" borderId="34" xfId="0" applyFont="1" applyBorder="1" applyAlignment="1" applyProtection="1">
      <alignment/>
      <protection hidden="1"/>
    </xf>
    <xf numFmtId="168" fontId="5" fillId="0" borderId="34" xfId="0" applyNumberFormat="1" applyFont="1" applyBorder="1" applyAlignment="1" applyProtection="1">
      <alignment/>
      <protection hidden="1"/>
    </xf>
    <xf numFmtId="167" fontId="5" fillId="0" borderId="34" xfId="0" applyNumberFormat="1" applyFont="1" applyBorder="1" applyAlignment="1" applyProtection="1">
      <alignment/>
      <protection hidden="1"/>
    </xf>
    <xf numFmtId="172" fontId="18" fillId="2" borderId="16" xfId="0" applyNumberFormat="1" applyFont="1" applyFill="1" applyBorder="1" applyAlignment="1" applyProtection="1">
      <alignment horizontal="center"/>
      <protection hidden="1"/>
    </xf>
    <xf numFmtId="172" fontId="18" fillId="2" borderId="18" xfId="0" applyNumberFormat="1" applyFont="1" applyFill="1" applyBorder="1" applyAlignment="1" applyProtection="1">
      <alignment horizontal="center"/>
      <protection hidden="1"/>
    </xf>
    <xf numFmtId="164" fontId="9" fillId="2" borderId="16" xfId="0" applyFont="1" applyFill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16" fillId="0" borderId="37" xfId="0" applyFont="1" applyBorder="1" applyAlignment="1" applyProtection="1">
      <alignment horizontal="left"/>
      <protection hidden="1"/>
    </xf>
    <xf numFmtId="164" fontId="5" fillId="0" borderId="37" xfId="0" applyFont="1" applyBorder="1" applyAlignment="1" applyProtection="1">
      <alignment/>
      <protection hidden="1"/>
    </xf>
    <xf numFmtId="168" fontId="5" fillId="0" borderId="37" xfId="0" applyNumberFormat="1" applyFont="1" applyBorder="1" applyAlignment="1" applyProtection="1">
      <alignment/>
      <protection hidden="1"/>
    </xf>
    <xf numFmtId="167" fontId="5" fillId="0" borderId="37" xfId="0" applyNumberFormat="1" applyFont="1" applyBorder="1" applyAlignment="1" applyProtection="1">
      <alignment/>
      <protection hidden="1"/>
    </xf>
    <xf numFmtId="164" fontId="9" fillId="2" borderId="12" xfId="0" applyFont="1" applyFill="1" applyBorder="1" applyAlignment="1" applyProtection="1">
      <alignment horizontal="center"/>
      <protection hidden="1"/>
    </xf>
    <xf numFmtId="171" fontId="5" fillId="0" borderId="34" xfId="0" applyNumberFormat="1" applyFont="1" applyBorder="1" applyAlignment="1" applyProtection="1">
      <alignment/>
      <protection hidden="1"/>
    </xf>
    <xf numFmtId="164" fontId="11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8" fontId="5" fillId="0" borderId="0" xfId="0" applyNumberFormat="1" applyFont="1" applyBorder="1" applyAlignment="1" applyProtection="1">
      <alignment/>
      <protection hidden="1"/>
    </xf>
    <xf numFmtId="171" fontId="5" fillId="0" borderId="0" xfId="0" applyNumberFormat="1" applyFont="1" applyBorder="1" applyAlignment="1" applyProtection="1">
      <alignment/>
      <protection hidden="1"/>
    </xf>
    <xf numFmtId="164" fontId="9" fillId="2" borderId="12" xfId="0" applyFont="1" applyFill="1" applyBorder="1" applyAlignment="1">
      <alignment horizontal="center"/>
    </xf>
    <xf numFmtId="171" fontId="9" fillId="2" borderId="12" xfId="0" applyNumberFormat="1" applyFont="1" applyFill="1" applyBorder="1" applyAlignment="1">
      <alignment horizontal="center"/>
    </xf>
    <xf numFmtId="164" fontId="11" fillId="0" borderId="34" xfId="0" applyFont="1" applyBorder="1" applyAlignment="1" applyProtection="1">
      <alignment horizontal="left"/>
      <protection hidden="1"/>
    </xf>
    <xf numFmtId="171" fontId="10" fillId="2" borderId="18" xfId="0" applyNumberFormat="1" applyFont="1" applyFill="1" applyBorder="1" applyAlignment="1">
      <alignment horizontal="center"/>
    </xf>
    <xf numFmtId="171" fontId="5" fillId="0" borderId="37" xfId="0" applyNumberFormat="1" applyFont="1" applyBorder="1" applyAlignment="1" applyProtection="1">
      <alignment/>
      <protection hidden="1"/>
    </xf>
    <xf numFmtId="164" fontId="16" fillId="0" borderId="0" xfId="0" applyFont="1" applyBorder="1" applyAlignment="1" applyProtection="1">
      <alignment horizontal="left"/>
      <protection hidden="1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37" xfId="0" applyFont="1" applyBorder="1" applyAlignment="1">
      <alignment/>
    </xf>
    <xf numFmtId="164" fontId="5" fillId="0" borderId="37" xfId="0" applyFont="1" applyBorder="1" applyAlignment="1">
      <alignment/>
    </xf>
    <xf numFmtId="171" fontId="14" fillId="0" borderId="37" xfId="0" applyNumberFormat="1" applyFont="1" applyBorder="1" applyAlignment="1" applyProtection="1">
      <alignment/>
      <protection hidden="1"/>
    </xf>
    <xf numFmtId="164" fontId="2" fillId="2" borderId="38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70" fontId="2" fillId="2" borderId="0" xfId="0" applyNumberFormat="1" applyFont="1" applyFill="1" applyAlignment="1">
      <alignment horizontal="center"/>
    </xf>
    <xf numFmtId="164" fontId="2" fillId="2" borderId="14" xfId="0" applyFont="1" applyFill="1" applyBorder="1" applyAlignment="1">
      <alignment/>
    </xf>
    <xf numFmtId="167" fontId="2" fillId="2" borderId="14" xfId="0" applyNumberFormat="1" applyFont="1" applyFill="1" applyBorder="1" applyAlignment="1">
      <alignment horizontal="center"/>
    </xf>
    <xf numFmtId="170" fontId="2" fillId="2" borderId="14" xfId="0" applyNumberFormat="1" applyFont="1" applyFill="1" applyBorder="1" applyAlignment="1">
      <alignment horizontal="center"/>
    </xf>
    <xf numFmtId="164" fontId="2" fillId="2" borderId="38" xfId="0" applyFont="1" applyFill="1" applyBorder="1" applyAlignment="1">
      <alignment/>
    </xf>
    <xf numFmtId="164" fontId="2" fillId="2" borderId="14" xfId="0" applyFont="1" applyFill="1" applyBorder="1" applyAlignment="1">
      <alignment horizontal="center"/>
    </xf>
    <xf numFmtId="175" fontId="2" fillId="2" borderId="0" xfId="0" applyNumberFormat="1" applyFont="1" applyFill="1" applyAlignment="1">
      <alignment horizontal="center"/>
    </xf>
    <xf numFmtId="175" fontId="2" fillId="2" borderId="14" xfId="0" applyNumberFormat="1" applyFont="1" applyFill="1" applyBorder="1" applyAlignment="1">
      <alignment horizontal="center"/>
    </xf>
    <xf numFmtId="164" fontId="2" fillId="5" borderId="0" xfId="0" applyFont="1" applyFill="1" applyBorder="1" applyAlignment="1">
      <alignment/>
    </xf>
    <xf numFmtId="170" fontId="2" fillId="5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Alignment="1">
      <alignment horizontal="center"/>
    </xf>
    <xf numFmtId="169" fontId="2" fillId="2" borderId="14" xfId="0" applyNumberFormat="1" applyFont="1" applyFill="1" applyBorder="1" applyAlignment="1">
      <alignment horizontal="center"/>
    </xf>
    <xf numFmtId="164" fontId="11" fillId="0" borderId="0" xfId="0" applyFont="1" applyAlignment="1" applyProtection="1">
      <alignment/>
      <protection/>
    </xf>
    <xf numFmtId="164" fontId="11" fillId="0" borderId="0" xfId="0" applyFont="1" applyBorder="1" applyAlignment="1" applyProtection="1">
      <alignment/>
      <protection hidden="1"/>
    </xf>
    <xf numFmtId="164" fontId="11" fillId="0" borderId="0" xfId="0" applyFont="1" applyBorder="1" applyAlignment="1" applyProtection="1">
      <alignment/>
      <protection hidden="1"/>
    </xf>
    <xf numFmtId="164" fontId="11" fillId="0" borderId="0" xfId="0" applyFont="1" applyBorder="1" applyAlignment="1" applyProtection="1">
      <alignment horizontal="right"/>
      <protection hidden="1"/>
    </xf>
    <xf numFmtId="166" fontId="11" fillId="5" borderId="0" xfId="0" applyNumberFormat="1" applyFont="1" applyFill="1" applyBorder="1" applyAlignment="1" applyProtection="1">
      <alignment/>
      <protection hidden="1"/>
    </xf>
    <xf numFmtId="166" fontId="16" fillId="5" borderId="0" xfId="0" applyNumberFormat="1" applyFont="1" applyFill="1" applyBorder="1" applyAlignment="1" applyProtection="1">
      <alignment horizontal="left"/>
      <protection hidden="1"/>
    </xf>
    <xf numFmtId="164" fontId="11" fillId="5" borderId="0" xfId="0" applyFont="1" applyFill="1" applyBorder="1" applyAlignment="1" applyProtection="1">
      <alignment/>
      <protection hidden="1"/>
    </xf>
    <xf numFmtId="172" fontId="16" fillId="5" borderId="0" xfId="0" applyNumberFormat="1" applyFont="1" applyFill="1" applyBorder="1" applyAlignment="1" applyProtection="1">
      <alignment horizontal="left"/>
      <protection hidden="1"/>
    </xf>
    <xf numFmtId="164" fontId="13" fillId="0" borderId="0" xfId="0" applyFont="1" applyAlignment="1" applyProtection="1">
      <alignment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/>
      <protection hidden="1"/>
    </xf>
    <xf numFmtId="167" fontId="11" fillId="2" borderId="19" xfId="0" applyNumberFormat="1" applyFont="1" applyFill="1" applyBorder="1" applyAlignment="1" applyProtection="1">
      <alignment/>
      <protection hidden="1"/>
    </xf>
    <xf numFmtId="170" fontId="11" fillId="0" borderId="0" xfId="0" applyNumberFormat="1" applyFont="1" applyAlignment="1" applyProtection="1">
      <alignment/>
      <protection hidden="1"/>
    </xf>
    <xf numFmtId="168" fontId="11" fillId="2" borderId="9" xfId="0" applyNumberFormat="1" applyFont="1" applyFill="1" applyBorder="1" applyAlignment="1" applyProtection="1">
      <alignment/>
      <protection hidden="1"/>
    </xf>
    <xf numFmtId="168" fontId="11" fillId="2" borderId="39" xfId="0" applyNumberFormat="1" applyFont="1" applyFill="1" applyBorder="1" applyAlignment="1" applyProtection="1">
      <alignment/>
      <protection hidden="1"/>
    </xf>
    <xf numFmtId="168" fontId="11" fillId="2" borderId="10" xfId="0" applyNumberFormat="1" applyFont="1" applyFill="1" applyBorder="1" applyAlignment="1" applyProtection="1">
      <alignment/>
      <protection hidden="1"/>
    </xf>
    <xf numFmtId="169" fontId="11" fillId="2" borderId="40" xfId="0" applyNumberFormat="1" applyFont="1" applyFill="1" applyBorder="1" applyAlignment="1" applyProtection="1">
      <alignment/>
      <protection hidden="1"/>
    </xf>
    <xf numFmtId="168" fontId="11" fillId="2" borderId="11" xfId="0" applyNumberFormat="1" applyFont="1" applyFill="1" applyBorder="1" applyAlignment="1" applyProtection="1">
      <alignment/>
      <protection hidden="1"/>
    </xf>
    <xf numFmtId="168" fontId="11" fillId="2" borderId="41" xfId="0" applyNumberFormat="1" applyFont="1" applyFill="1" applyBorder="1" applyAlignment="1" applyProtection="1">
      <alignment/>
      <protection hidden="1"/>
    </xf>
    <xf numFmtId="168" fontId="11" fillId="2" borderId="42" xfId="0" applyNumberFormat="1" applyFont="1" applyFill="1" applyBorder="1" applyAlignment="1" applyProtection="1">
      <alignment/>
      <protection hidden="1"/>
    </xf>
    <xf numFmtId="168" fontId="11" fillId="2" borderId="43" xfId="0" applyNumberFormat="1" applyFont="1" applyFill="1" applyBorder="1" applyAlignment="1" applyProtection="1">
      <alignment/>
      <protection hidden="1"/>
    </xf>
    <xf numFmtId="169" fontId="11" fillId="2" borderId="44" xfId="0" applyNumberFormat="1" applyFont="1" applyFill="1" applyBorder="1" applyAlignment="1" applyProtection="1">
      <alignment/>
      <protection hidden="1"/>
    </xf>
    <xf numFmtId="168" fontId="11" fillId="2" borderId="45" xfId="0" applyNumberFormat="1" applyFont="1" applyFill="1" applyBorder="1" applyAlignment="1" applyProtection="1">
      <alignment/>
      <protection hidden="1"/>
    </xf>
    <xf numFmtId="168" fontId="11" fillId="2" borderId="13" xfId="0" applyNumberFormat="1" applyFont="1" applyFill="1" applyBorder="1" applyAlignment="1" applyProtection="1">
      <alignment/>
      <protection hidden="1"/>
    </xf>
    <xf numFmtId="168" fontId="11" fillId="2" borderId="35" xfId="0" applyNumberFormat="1" applyFont="1" applyFill="1" applyBorder="1" applyAlignment="1" applyProtection="1">
      <alignment/>
      <protection hidden="1"/>
    </xf>
    <xf numFmtId="168" fontId="11" fillId="2" borderId="14" xfId="0" applyNumberFormat="1" applyFont="1" applyFill="1" applyBorder="1" applyAlignment="1" applyProtection="1">
      <alignment/>
      <protection hidden="1"/>
    </xf>
    <xf numFmtId="169" fontId="11" fillId="2" borderId="26" xfId="0" applyNumberFormat="1" applyFont="1" applyFill="1" applyBorder="1" applyAlignment="1" applyProtection="1">
      <alignment/>
      <protection hidden="1"/>
    </xf>
    <xf numFmtId="168" fontId="11" fillId="2" borderId="15" xfId="0" applyNumberFormat="1" applyFont="1" applyFill="1" applyBorder="1" applyAlignment="1" applyProtection="1">
      <alignment/>
      <protection hidden="1"/>
    </xf>
    <xf numFmtId="170" fontId="11" fillId="0" borderId="0" xfId="0" applyNumberFormat="1" applyFont="1" applyBorder="1" applyAlignment="1" applyProtection="1">
      <alignment/>
      <protection hidden="1"/>
    </xf>
    <xf numFmtId="164" fontId="2" fillId="0" borderId="38" xfId="0" applyFont="1" applyBorder="1" applyAlignment="1" applyProtection="1">
      <alignment/>
      <protection hidden="1"/>
    </xf>
    <xf numFmtId="164" fontId="11" fillId="0" borderId="38" xfId="0" applyFont="1" applyBorder="1" applyAlignment="1" applyProtection="1">
      <alignment horizontal="center"/>
      <protection hidden="1"/>
    </xf>
    <xf numFmtId="164" fontId="11" fillId="0" borderId="46" xfId="0" applyFont="1" applyBorder="1" applyAlignment="1" applyProtection="1">
      <alignment horizontal="center"/>
      <protection hidden="1"/>
    </xf>
    <xf numFmtId="168" fontId="11" fillId="2" borderId="47" xfId="0" applyNumberFormat="1" applyFont="1" applyFill="1" applyBorder="1" applyAlignment="1" applyProtection="1">
      <alignment/>
      <protection hidden="1"/>
    </xf>
    <xf numFmtId="168" fontId="11" fillId="0" borderId="0" xfId="0" applyNumberFormat="1" applyFont="1" applyAlignment="1" applyProtection="1">
      <alignment horizontal="center"/>
      <protection hidden="1"/>
    </xf>
    <xf numFmtId="164" fontId="11" fillId="0" borderId="0" xfId="0" applyFont="1" applyFill="1" applyBorder="1" applyAlignment="1" applyProtection="1">
      <alignment horizontal="center"/>
      <protection hidden="1"/>
    </xf>
    <xf numFmtId="169" fontId="11" fillId="0" borderId="0" xfId="0" applyNumberFormat="1" applyFont="1" applyAlignment="1" applyProtection="1">
      <alignment horizontal="center"/>
      <protection hidden="1"/>
    </xf>
    <xf numFmtId="169" fontId="11" fillId="0" borderId="27" xfId="0" applyNumberFormat="1" applyFont="1" applyBorder="1" applyAlignment="1" applyProtection="1">
      <alignment horizontal="center"/>
      <protection hidden="1"/>
    </xf>
    <xf numFmtId="168" fontId="11" fillId="2" borderId="48" xfId="0" applyNumberFormat="1" applyFont="1" applyFill="1" applyBorder="1" applyAlignment="1" applyProtection="1">
      <alignment/>
      <protection hidden="1"/>
    </xf>
    <xf numFmtId="164" fontId="11" fillId="0" borderId="34" xfId="0" applyFont="1" applyFill="1" applyBorder="1" applyAlignment="1" applyProtection="1">
      <alignment horizontal="center"/>
      <protection hidden="1"/>
    </xf>
    <xf numFmtId="169" fontId="11" fillId="0" borderId="34" xfId="0" applyNumberFormat="1" applyFont="1" applyBorder="1" applyAlignment="1" applyProtection="1">
      <alignment horizontal="center"/>
      <protection hidden="1"/>
    </xf>
    <xf numFmtId="169" fontId="11" fillId="0" borderId="30" xfId="0" applyNumberFormat="1" applyFont="1" applyBorder="1" applyAlignment="1" applyProtection="1">
      <alignment horizontal="center"/>
      <protection hidden="1"/>
    </xf>
    <xf numFmtId="168" fontId="11" fillId="2" borderId="49" xfId="0" applyNumberFormat="1" applyFont="1" applyFill="1" applyBorder="1" applyAlignment="1" applyProtection="1">
      <alignment/>
      <protection hidden="1"/>
    </xf>
    <xf numFmtId="175" fontId="11" fillId="0" borderId="0" xfId="0" applyNumberFormat="1" applyFont="1" applyAlignment="1" applyProtection="1">
      <alignment horizontal="center"/>
      <protection hidden="1"/>
    </xf>
    <xf numFmtId="175" fontId="11" fillId="0" borderId="27" xfId="0" applyNumberFormat="1" applyFont="1" applyBorder="1" applyAlignment="1" applyProtection="1">
      <alignment horizontal="center"/>
      <protection hidden="1"/>
    </xf>
    <xf numFmtId="164" fontId="11" fillId="0" borderId="14" xfId="0" applyFont="1" applyFill="1" applyBorder="1" applyAlignment="1" applyProtection="1">
      <alignment horizontal="center"/>
      <protection hidden="1"/>
    </xf>
    <xf numFmtId="175" fontId="11" fillId="0" borderId="14" xfId="0" applyNumberFormat="1" applyFont="1" applyBorder="1" applyAlignment="1" applyProtection="1">
      <alignment horizontal="center"/>
      <protection hidden="1"/>
    </xf>
    <xf numFmtId="175" fontId="11" fillId="0" borderId="13" xfId="0" applyNumberFormat="1" applyFont="1" applyBorder="1" applyAlignment="1" applyProtection="1">
      <alignment horizontal="center"/>
      <protection hidden="1"/>
    </xf>
    <xf numFmtId="168" fontId="11" fillId="2" borderId="20" xfId="0" applyNumberFormat="1" applyFont="1" applyFill="1" applyBorder="1" applyAlignment="1" applyProtection="1">
      <alignment horizontal="right"/>
      <protection hidden="1"/>
    </xf>
    <xf numFmtId="168" fontId="11" fillId="2" borderId="21" xfId="0" applyNumberFormat="1" applyFont="1" applyFill="1" applyBorder="1" applyAlignment="1" applyProtection="1">
      <alignment horizontal="right"/>
      <protection hidden="1"/>
    </xf>
    <xf numFmtId="168" fontId="11" fillId="2" borderId="18" xfId="0" applyNumberFormat="1" applyFont="1" applyFill="1" applyBorder="1" applyAlignment="1" applyProtection="1">
      <alignment horizontal="right"/>
      <protection hidden="1"/>
    </xf>
    <xf numFmtId="170" fontId="11" fillId="0" borderId="0" xfId="0" applyNumberFormat="1" applyFont="1" applyBorder="1" applyAlignment="1" applyProtection="1">
      <alignment horizontal="center"/>
      <protection hidden="1"/>
    </xf>
    <xf numFmtId="168" fontId="11" fillId="2" borderId="19" xfId="0" applyNumberFormat="1" applyFont="1" applyFill="1" applyBorder="1" applyAlignment="1" applyProtection="1">
      <alignment horizontal="right"/>
      <protection hidden="1"/>
    </xf>
    <xf numFmtId="168" fontId="11" fillId="0" borderId="0" xfId="0" applyNumberFormat="1" applyFont="1" applyFill="1" applyBorder="1" applyAlignment="1" applyProtection="1">
      <alignment/>
      <protection hidden="1"/>
    </xf>
    <xf numFmtId="164" fontId="13" fillId="0" borderId="0" xfId="0" applyFont="1" applyAlignment="1" applyProtection="1">
      <alignment horizontal="left"/>
      <protection hidden="1"/>
    </xf>
    <xf numFmtId="169" fontId="11" fillId="2" borderId="16" xfId="0" applyNumberFormat="1" applyFont="1" applyFill="1" applyBorder="1" applyAlignment="1" applyProtection="1">
      <alignment horizontal="right"/>
      <protection hidden="1"/>
    </xf>
    <xf numFmtId="169" fontId="11" fillId="2" borderId="50" xfId="0" applyNumberFormat="1" applyFont="1" applyFill="1" applyBorder="1" applyAlignment="1" applyProtection="1">
      <alignment horizontal="right"/>
      <protection hidden="1"/>
    </xf>
    <xf numFmtId="164" fontId="11" fillId="0" borderId="0" xfId="0" applyFont="1" applyAlignment="1" applyProtection="1">
      <alignment horizontal="right"/>
      <protection hidden="1"/>
    </xf>
    <xf numFmtId="170" fontId="11" fillId="2" borderId="19" xfId="0" applyNumberFormat="1" applyFont="1" applyFill="1" applyBorder="1" applyAlignment="1" applyProtection="1">
      <alignment horizontal="center"/>
      <protection hidden="1"/>
    </xf>
    <xf numFmtId="169" fontId="11" fillId="0" borderId="0" xfId="0" applyNumberFormat="1" applyFont="1" applyBorder="1" applyAlignment="1" applyProtection="1">
      <alignment horizontal="right"/>
      <protection hidden="1"/>
    </xf>
    <xf numFmtId="164" fontId="16" fillId="0" borderId="0" xfId="0" applyFont="1" applyAlignment="1" applyProtection="1">
      <alignment horizontal="left"/>
      <protection hidden="1"/>
    </xf>
    <xf numFmtId="164" fontId="11" fillId="0" borderId="51" xfId="0" applyFont="1" applyBorder="1" applyAlignment="1" applyProtection="1">
      <alignment horizontal="center"/>
      <protection hidden="1"/>
    </xf>
    <xf numFmtId="164" fontId="11" fillId="0" borderId="29" xfId="0" applyFont="1" applyBorder="1" applyAlignment="1" applyProtection="1">
      <alignment horizontal="center"/>
      <protection hidden="1"/>
    </xf>
    <xf numFmtId="164" fontId="11" fillId="0" borderId="9" xfId="0" applyFont="1" applyBorder="1" applyAlignment="1" applyProtection="1">
      <alignment horizontal="center"/>
      <protection hidden="1"/>
    </xf>
    <xf numFmtId="164" fontId="11" fillId="0" borderId="13" xfId="0" applyFont="1" applyBorder="1" applyAlignment="1" applyProtection="1">
      <alignment horizontal="center"/>
      <protection hidden="1"/>
    </xf>
    <xf numFmtId="169" fontId="11" fillId="2" borderId="52" xfId="0" applyNumberFormat="1" applyFont="1" applyFill="1" applyBorder="1" applyAlignment="1" applyProtection="1">
      <alignment horizontal="center"/>
      <protection hidden="1"/>
    </xf>
    <xf numFmtId="164" fontId="11" fillId="0" borderId="32" xfId="0" applyFont="1" applyBorder="1" applyAlignment="1" applyProtection="1">
      <alignment horizontal="center"/>
      <protection hidden="1"/>
    </xf>
    <xf numFmtId="169" fontId="11" fillId="2" borderId="27" xfId="0" applyNumberFormat="1" applyFont="1" applyFill="1" applyBorder="1" applyAlignment="1" applyProtection="1">
      <alignment horizontal="center"/>
      <protection hidden="1"/>
    </xf>
    <xf numFmtId="169" fontId="11" fillId="2" borderId="53" xfId="0" applyNumberFormat="1" applyFont="1" applyFill="1" applyBorder="1" applyAlignment="1" applyProtection="1">
      <alignment horizontal="center"/>
      <protection hidden="1"/>
    </xf>
    <xf numFmtId="164" fontId="11" fillId="0" borderId="27" xfId="0" applyFont="1" applyBorder="1" applyAlignment="1" applyProtection="1">
      <alignment horizontal="center"/>
      <protection hidden="1"/>
    </xf>
    <xf numFmtId="164" fontId="11" fillId="0" borderId="43" xfId="0" applyFont="1" applyBorder="1" applyAlignment="1" applyProtection="1">
      <alignment horizontal="center"/>
      <protection hidden="1"/>
    </xf>
    <xf numFmtId="169" fontId="11" fillId="2" borderId="41" xfId="0" applyNumberFormat="1" applyFont="1" applyFill="1" applyBorder="1" applyAlignment="1" applyProtection="1">
      <alignment horizontal="center"/>
      <protection hidden="1"/>
    </xf>
    <xf numFmtId="169" fontId="11" fillId="2" borderId="32" xfId="0" applyNumberFormat="1" applyFont="1" applyFill="1" applyBorder="1" applyAlignment="1" applyProtection="1">
      <alignment horizontal="center"/>
      <protection hidden="1"/>
    </xf>
    <xf numFmtId="169" fontId="11" fillId="2" borderId="13" xfId="0" applyNumberFormat="1" applyFont="1" applyFill="1" applyBorder="1" applyAlignment="1" applyProtection="1">
      <alignment horizontal="center"/>
      <protection hidden="1"/>
    </xf>
    <xf numFmtId="169" fontId="11" fillId="0" borderId="32" xfId="0" applyNumberFormat="1" applyFont="1" applyBorder="1" applyAlignment="1" applyProtection="1">
      <alignment horizontal="center"/>
      <protection hidden="1"/>
    </xf>
    <xf numFmtId="169" fontId="11" fillId="0" borderId="13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169" fontId="11" fillId="0" borderId="46" xfId="0" applyNumberFormat="1" applyFont="1" applyBorder="1" applyAlignment="1" applyProtection="1">
      <alignment horizontal="center"/>
      <protection hidden="1"/>
    </xf>
    <xf numFmtId="169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9" fontId="11" fillId="0" borderId="10" xfId="0" applyNumberFormat="1" applyFont="1" applyBorder="1" applyAlignment="1" applyProtection="1">
      <alignment horizontal="center"/>
      <protection hidden="1"/>
    </xf>
    <xf numFmtId="164" fontId="11" fillId="0" borderId="51" xfId="0" applyFont="1" applyBorder="1" applyAlignment="1" applyProtection="1">
      <alignment horizontal="left"/>
      <protection hidden="1"/>
    </xf>
    <xf numFmtId="169" fontId="11" fillId="2" borderId="29" xfId="0" applyNumberFormat="1" applyFont="1" applyFill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  <xf numFmtId="164" fontId="11" fillId="0" borderId="0" xfId="0" applyNumberFormat="1" applyFont="1" applyAlignment="1" applyProtection="1">
      <alignment horizontal="left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8" fontId="11" fillId="2" borderId="16" xfId="0" applyNumberFormat="1" applyFont="1" applyFill="1" applyBorder="1" applyAlignment="1" applyProtection="1">
      <alignment horizontal="right"/>
      <protection hidden="1"/>
    </xf>
    <xf numFmtId="164" fontId="2" fillId="0" borderId="0" xfId="0" applyFont="1" applyAlignment="1" applyProtection="1">
      <alignment horizontal="center"/>
      <protection hidden="1"/>
    </xf>
    <xf numFmtId="164" fontId="11" fillId="0" borderId="38" xfId="0" applyFont="1" applyBorder="1" applyAlignment="1" applyProtection="1">
      <alignment horizontal="left"/>
      <protection hidden="1"/>
    </xf>
    <xf numFmtId="168" fontId="11" fillId="2" borderId="50" xfId="0" applyNumberFormat="1" applyFont="1" applyFill="1" applyBorder="1" applyAlignment="1" applyProtection="1">
      <alignment horizontal="right"/>
      <protection hidden="1"/>
    </xf>
    <xf numFmtId="175" fontId="11" fillId="0" borderId="0" xfId="0" applyNumberFormat="1" applyFont="1" applyBorder="1" applyAlignment="1" applyProtection="1">
      <alignment horizontal="center"/>
      <protection hidden="1"/>
    </xf>
    <xf numFmtId="168" fontId="11" fillId="0" borderId="0" xfId="0" applyNumberFormat="1" applyFont="1" applyAlignment="1" applyProtection="1">
      <alignment horizontal="right"/>
      <protection hidden="1"/>
    </xf>
    <xf numFmtId="168" fontId="11" fillId="0" borderId="0" xfId="0" applyNumberFormat="1" applyFont="1" applyAlignment="1" applyProtection="1">
      <alignment/>
      <protection hidden="1"/>
    </xf>
    <xf numFmtId="164" fontId="11" fillId="0" borderId="14" xfId="0" applyFont="1" applyBorder="1" applyAlignment="1" applyProtection="1">
      <alignment/>
      <protection hidden="1"/>
    </xf>
    <xf numFmtId="168" fontId="11" fillId="0" borderId="0" xfId="0" applyNumberFormat="1" applyFont="1" applyAlignment="1" applyProtection="1">
      <alignment/>
      <protection hidden="1"/>
    </xf>
    <xf numFmtId="167" fontId="2" fillId="0" borderId="0" xfId="0" applyNumberFormat="1" applyFont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19" fillId="0" borderId="0" xfId="0" applyFont="1" applyAlignment="1" applyProtection="1">
      <alignment horizontal="left"/>
      <protection hidden="1"/>
    </xf>
    <xf numFmtId="167" fontId="11" fillId="2" borderId="16" xfId="0" applyNumberFormat="1" applyFont="1" applyFill="1" applyBorder="1" applyAlignment="1" applyProtection="1">
      <alignment horizontal="center"/>
      <protection hidden="1"/>
    </xf>
    <xf numFmtId="167" fontId="11" fillId="2" borderId="17" xfId="0" applyNumberFormat="1" applyFont="1" applyFill="1" applyBorder="1" applyAlignment="1" applyProtection="1">
      <alignment horizontal="center"/>
      <protection hidden="1"/>
    </xf>
    <xf numFmtId="171" fontId="11" fillId="0" borderId="0" xfId="0" applyNumberFormat="1" applyFont="1" applyAlignment="1" applyProtection="1">
      <alignment/>
      <protection hidden="1"/>
    </xf>
    <xf numFmtId="171" fontId="2" fillId="0" borderId="0" xfId="0" applyNumberFormat="1" applyFont="1" applyAlignment="1" applyProtection="1">
      <alignment/>
      <protection hidden="1"/>
    </xf>
    <xf numFmtId="167" fontId="11" fillId="2" borderId="18" xfId="0" applyNumberFormat="1" applyFont="1" applyFill="1" applyBorder="1" applyAlignment="1" applyProtection="1">
      <alignment horizontal="center"/>
      <protection hidden="1"/>
    </xf>
    <xf numFmtId="167" fontId="11" fillId="2" borderId="19" xfId="0" applyNumberFormat="1" applyFont="1" applyFill="1" applyBorder="1" applyAlignment="1" applyProtection="1">
      <alignment horizontal="center"/>
      <protection hidden="1"/>
    </xf>
    <xf numFmtId="171" fontId="11" fillId="0" borderId="0" xfId="0" applyNumberFormat="1" applyFont="1" applyAlignment="1" applyProtection="1">
      <alignment horizontal="right"/>
      <protection hidden="1"/>
    </xf>
    <xf numFmtId="170" fontId="2" fillId="0" borderId="0" xfId="0" applyNumberFormat="1" applyFont="1" applyAlignment="1" applyProtection="1">
      <alignment/>
      <protection hidden="1"/>
    </xf>
    <xf numFmtId="171" fontId="11" fillId="0" borderId="0" xfId="0" applyNumberFormat="1" applyFont="1" applyBorder="1" applyAlignment="1" applyProtection="1">
      <alignment horizontal="center"/>
      <protection hidden="1"/>
    </xf>
    <xf numFmtId="170" fontId="11" fillId="0" borderId="0" xfId="0" applyNumberFormat="1" applyFont="1" applyAlignment="1" applyProtection="1">
      <alignment horizontal="right"/>
      <protection hidden="1"/>
    </xf>
    <xf numFmtId="171" fontId="2" fillId="0" borderId="0" xfId="0" applyNumberFormat="1" applyFont="1" applyAlignment="1" applyProtection="1">
      <alignment horizontal="right"/>
      <protection hidden="1"/>
    </xf>
    <xf numFmtId="171" fontId="11" fillId="0" borderId="0" xfId="0" applyNumberFormat="1" applyFont="1" applyBorder="1" applyAlignment="1" applyProtection="1">
      <alignment horizontal="right"/>
      <protection hidden="1"/>
    </xf>
    <xf numFmtId="167" fontId="11" fillId="0" borderId="0" xfId="0" applyNumberFormat="1" applyFont="1" applyFill="1" applyBorder="1" applyAlignment="1" applyProtection="1">
      <alignment horizontal="center"/>
      <protection hidden="1"/>
    </xf>
    <xf numFmtId="170" fontId="11" fillId="0" borderId="0" xfId="0" applyNumberFormat="1" applyFont="1" applyFill="1" applyAlignment="1" applyProtection="1">
      <alignment/>
      <protection hidden="1"/>
    </xf>
    <xf numFmtId="170" fontId="11" fillId="0" borderId="0" xfId="0" applyNumberFormat="1" applyFont="1" applyAlignment="1" applyProtection="1">
      <alignment/>
      <protection hidden="1"/>
    </xf>
    <xf numFmtId="170" fontId="11" fillId="0" borderId="0" xfId="0" applyNumberFormat="1" applyFont="1" applyAlignment="1" applyProtection="1">
      <alignment horizontal="center"/>
      <protection hidden="1"/>
    </xf>
    <xf numFmtId="172" fontId="11" fillId="2" borderId="9" xfId="0" applyNumberFormat="1" applyFont="1" applyFill="1" applyBorder="1" applyAlignment="1" applyProtection="1">
      <alignment horizontal="center"/>
      <protection hidden="1"/>
    </xf>
    <xf numFmtId="172" fontId="11" fillId="2" borderId="54" xfId="0" applyNumberFormat="1" applyFont="1" applyFill="1" applyBorder="1" applyAlignment="1" applyProtection="1">
      <alignment horizontal="center"/>
      <protection hidden="1"/>
    </xf>
    <xf numFmtId="172" fontId="11" fillId="2" borderId="39" xfId="0" applyNumberFormat="1" applyFont="1" applyFill="1" applyBorder="1" applyAlignment="1" applyProtection="1">
      <alignment horizontal="center"/>
      <protection hidden="1"/>
    </xf>
    <xf numFmtId="172" fontId="11" fillId="2" borderId="11" xfId="0" applyNumberFormat="1" applyFont="1" applyFill="1" applyBorder="1" applyAlignment="1" applyProtection="1">
      <alignment horizontal="center"/>
      <protection hidden="1"/>
    </xf>
    <xf numFmtId="172" fontId="11" fillId="2" borderId="55" xfId="0" applyNumberFormat="1" applyFont="1" applyFill="1" applyBorder="1" applyAlignment="1" applyProtection="1">
      <alignment horizontal="center"/>
      <protection hidden="1"/>
    </xf>
    <xf numFmtId="172" fontId="11" fillId="2" borderId="56" xfId="0" applyNumberFormat="1" applyFont="1" applyFill="1" applyBorder="1" applyAlignment="1" applyProtection="1">
      <alignment horizontal="center"/>
      <protection hidden="1"/>
    </xf>
    <xf numFmtId="170" fontId="2" fillId="0" borderId="51" xfId="0" applyNumberFormat="1" applyFont="1" applyBorder="1" applyAlignment="1" applyProtection="1">
      <alignment horizontal="center"/>
      <protection hidden="1"/>
    </xf>
    <xf numFmtId="170" fontId="11" fillId="0" borderId="29" xfId="0" applyNumberFormat="1" applyFont="1" applyBorder="1" applyAlignment="1" applyProtection="1">
      <alignment horizontal="center"/>
      <protection hidden="1"/>
    </xf>
    <xf numFmtId="164" fontId="11" fillId="0" borderId="30" xfId="0" applyFont="1" applyBorder="1" applyAlignment="1" applyProtection="1">
      <alignment horizontal="center" vertical="center"/>
      <protection hidden="1"/>
    </xf>
    <xf numFmtId="164" fontId="11" fillId="0" borderId="31" xfId="0" applyFont="1" applyBorder="1" applyAlignment="1" applyProtection="1">
      <alignment horizontal="center" vertical="center"/>
      <protection hidden="1"/>
    </xf>
    <xf numFmtId="164" fontId="11" fillId="0" borderId="30" xfId="0" applyFont="1" applyBorder="1" applyAlignment="1" applyProtection="1">
      <alignment horizontal="center"/>
      <protection hidden="1"/>
    </xf>
    <xf numFmtId="164" fontId="11" fillId="0" borderId="31" xfId="0" applyFont="1" applyBorder="1" applyAlignment="1" applyProtection="1">
      <alignment horizontal="center"/>
      <protection hidden="1"/>
    </xf>
    <xf numFmtId="174" fontId="11" fillId="0" borderId="52" xfId="0" applyNumberFormat="1" applyFont="1" applyBorder="1" applyAlignment="1" applyProtection="1">
      <alignment horizontal="left"/>
      <protection hidden="1"/>
    </xf>
    <xf numFmtId="174" fontId="11" fillId="0" borderId="27" xfId="0" applyNumberFormat="1" applyFont="1" applyBorder="1" applyAlignment="1" applyProtection="1">
      <alignment horizontal="left"/>
      <protection hidden="1"/>
    </xf>
    <xf numFmtId="174" fontId="11" fillId="0" borderId="32" xfId="0" applyNumberFormat="1" applyFont="1" applyBorder="1" applyAlignment="1" applyProtection="1">
      <alignment horizontal="left"/>
      <protection hidden="1"/>
    </xf>
    <xf numFmtId="174" fontId="11" fillId="0" borderId="13" xfId="0" applyNumberFormat="1" applyFont="1" applyBorder="1" applyAlignment="1" applyProtection="1">
      <alignment horizontal="left"/>
      <protection hidden="1"/>
    </xf>
    <xf numFmtId="164" fontId="2" fillId="0" borderId="14" xfId="0" applyFont="1" applyBorder="1" applyAlignment="1" applyProtection="1">
      <alignment/>
      <protection hidden="1"/>
    </xf>
    <xf numFmtId="164" fontId="2" fillId="0" borderId="29" xfId="0" applyFont="1" applyBorder="1" applyAlignment="1" applyProtection="1">
      <alignment/>
      <protection hidden="1"/>
    </xf>
    <xf numFmtId="164" fontId="11" fillId="0" borderId="0" xfId="0" applyNumberFormat="1" applyFont="1" applyAlignment="1" applyProtection="1">
      <alignment/>
      <protection hidden="1"/>
    </xf>
    <xf numFmtId="164" fontId="11" fillId="0" borderId="51" xfId="0" applyNumberFormat="1" applyFont="1" applyBorder="1" applyAlignment="1" applyProtection="1">
      <alignment horizontal="justify"/>
      <protection hidden="1"/>
    </xf>
    <xf numFmtId="164" fontId="2" fillId="0" borderId="14" xfId="0" applyFont="1" applyBorder="1" applyAlignment="1" applyProtection="1">
      <alignment horizontal="right"/>
      <protection hidden="1"/>
    </xf>
    <xf numFmtId="170" fontId="11" fillId="0" borderId="27" xfId="0" applyNumberFormat="1" applyFont="1" applyBorder="1" applyAlignment="1" applyProtection="1">
      <alignment/>
      <protection hidden="1"/>
    </xf>
    <xf numFmtId="168" fontId="11" fillId="0" borderId="27" xfId="0" applyNumberFormat="1" applyFont="1" applyBorder="1" applyAlignment="1" applyProtection="1">
      <alignment/>
      <protection hidden="1"/>
    </xf>
    <xf numFmtId="170" fontId="11" fillId="0" borderId="0" xfId="0" applyNumberFormat="1" applyFont="1" applyBorder="1" applyAlignment="1" applyProtection="1">
      <alignment/>
      <protection hidden="1"/>
    </xf>
    <xf numFmtId="168" fontId="11" fillId="0" borderId="0" xfId="0" applyNumberFormat="1" applyFont="1" applyBorder="1" applyAlignment="1" applyProtection="1">
      <alignment/>
      <protection hidden="1"/>
    </xf>
    <xf numFmtId="168" fontId="11" fillId="0" borderId="27" xfId="0" applyNumberFormat="1" applyFont="1" applyBorder="1" applyAlignment="1" applyProtection="1">
      <alignment horizontal="center"/>
      <protection hidden="1"/>
    </xf>
    <xf numFmtId="168" fontId="11" fillId="0" borderId="13" xfId="0" applyNumberFormat="1" applyFont="1" applyBorder="1" applyAlignment="1" applyProtection="1">
      <alignment/>
      <protection hidden="1"/>
    </xf>
    <xf numFmtId="168" fontId="11" fillId="0" borderId="14" xfId="0" applyNumberFormat="1" applyFont="1" applyBorder="1" applyAlignment="1" applyProtection="1">
      <alignment/>
      <protection hidden="1"/>
    </xf>
    <xf numFmtId="170" fontId="11" fillId="2" borderId="40" xfId="0" applyNumberFormat="1" applyFont="1" applyFill="1" applyBorder="1" applyAlignment="1" applyProtection="1">
      <alignment horizontal="center"/>
      <protection hidden="1"/>
    </xf>
    <xf numFmtId="170" fontId="11" fillId="2" borderId="44" xfId="0" applyNumberFormat="1" applyFont="1" applyFill="1" applyBorder="1" applyAlignment="1" applyProtection="1">
      <alignment horizontal="center"/>
      <protection hidden="1"/>
    </xf>
    <xf numFmtId="170" fontId="11" fillId="2" borderId="23" xfId="0" applyNumberFormat="1" applyFont="1" applyFill="1" applyBorder="1" applyAlignment="1" applyProtection="1">
      <alignment horizontal="center"/>
      <protection hidden="1"/>
    </xf>
    <xf numFmtId="168" fontId="11" fillId="0" borderId="0" xfId="0" applyNumberFormat="1" applyFont="1" applyBorder="1" applyAlignment="1" applyProtection="1">
      <alignment horizontal="center"/>
      <protection hidden="1"/>
    </xf>
    <xf numFmtId="170" fontId="11" fillId="2" borderId="26" xfId="0" applyNumberFormat="1" applyFont="1" applyFill="1" applyBorder="1" applyAlignment="1" applyProtection="1">
      <alignment horizontal="center"/>
      <protection hidden="1"/>
    </xf>
    <xf numFmtId="170" fontId="11" fillId="2" borderId="45" xfId="0" applyNumberFormat="1" applyFont="1" applyFill="1" applyBorder="1" applyAlignment="1" applyProtection="1">
      <alignment horizontal="center"/>
      <protection hidden="1"/>
    </xf>
    <xf numFmtId="170" fontId="11" fillId="2" borderId="56" xfId="0" applyNumberFormat="1" applyFont="1" applyFill="1" applyBorder="1" applyAlignment="1" applyProtection="1">
      <alignment horizontal="center"/>
      <protection hidden="1"/>
    </xf>
    <xf numFmtId="167" fontId="11" fillId="2" borderId="50" xfId="0" applyNumberFormat="1" applyFont="1" applyFill="1" applyBorder="1" applyAlignment="1" applyProtection="1">
      <alignment horizontal="center"/>
      <protection hidden="1"/>
    </xf>
    <xf numFmtId="170" fontId="11" fillId="0" borderId="27" xfId="0" applyNumberFormat="1" applyFont="1" applyBorder="1" applyAlignment="1" applyProtection="1">
      <alignment horizontal="center"/>
      <protection hidden="1"/>
    </xf>
    <xf numFmtId="174" fontId="11" fillId="0" borderId="0" xfId="0" applyNumberFormat="1" applyFont="1" applyAlignment="1" applyProtection="1">
      <alignment/>
      <protection hidden="1"/>
    </xf>
    <xf numFmtId="164" fontId="0" fillId="0" borderId="0" xfId="0" applyAlignment="1" applyProtection="1">
      <alignment/>
      <protection/>
    </xf>
    <xf numFmtId="176" fontId="11" fillId="2" borderId="19" xfId="0" applyNumberFormat="1" applyFont="1" applyFill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right"/>
      <protection hidden="1"/>
    </xf>
    <xf numFmtId="168" fontId="2" fillId="0" borderId="0" xfId="0" applyNumberFormat="1" applyFont="1" applyAlignment="1" applyProtection="1">
      <alignment/>
      <protection hidden="1"/>
    </xf>
    <xf numFmtId="167" fontId="11" fillId="0" borderId="0" xfId="0" applyNumberFormat="1" applyFont="1" applyAlignment="1" applyProtection="1">
      <alignment/>
      <protection hidden="1"/>
    </xf>
    <xf numFmtId="164" fontId="11" fillId="0" borderId="0" xfId="0" applyFont="1" applyFill="1" applyBorder="1" applyAlignment="1" applyProtection="1">
      <alignment horizontal="right"/>
      <protection hidden="1"/>
    </xf>
    <xf numFmtId="168" fontId="11" fillId="0" borderId="34" xfId="0" applyNumberFormat="1" applyFont="1" applyBorder="1" applyAlignment="1" applyProtection="1">
      <alignment/>
      <protection hidden="1"/>
    </xf>
    <xf numFmtId="164" fontId="11" fillId="0" borderId="34" xfId="0" applyFont="1" applyBorder="1" applyAlignment="1" applyProtection="1">
      <alignment/>
      <protection hidden="1"/>
    </xf>
    <xf numFmtId="164" fontId="2" fillId="0" borderId="34" xfId="0" applyFont="1" applyBorder="1" applyAlignment="1" applyProtection="1">
      <alignment/>
      <protection hidden="1"/>
    </xf>
    <xf numFmtId="167" fontId="11" fillId="0" borderId="34" xfId="0" applyNumberFormat="1" applyFont="1" applyBorder="1" applyAlignment="1" applyProtection="1">
      <alignment/>
      <protection hidden="1"/>
    </xf>
    <xf numFmtId="164" fontId="16" fillId="0" borderId="34" xfId="0" applyFont="1" applyBorder="1" applyAlignment="1" applyProtection="1">
      <alignment horizontal="left"/>
      <protection hidden="1"/>
    </xf>
    <xf numFmtId="167" fontId="11" fillId="0" borderId="0" xfId="0" applyNumberFormat="1" applyFont="1" applyAlignment="1" applyProtection="1">
      <alignment/>
      <protection hidden="1"/>
    </xf>
    <xf numFmtId="168" fontId="11" fillId="0" borderId="34" xfId="0" applyNumberFormat="1" applyFont="1" applyBorder="1" applyAlignment="1" applyProtection="1">
      <alignment/>
      <protection hidden="1"/>
    </xf>
    <xf numFmtId="167" fontId="11" fillId="0" borderId="34" xfId="0" applyNumberFormat="1" applyFont="1" applyBorder="1" applyAlignment="1" applyProtection="1">
      <alignment/>
      <protection hidden="1"/>
    </xf>
    <xf numFmtId="168" fontId="20" fillId="0" borderId="0" xfId="0" applyNumberFormat="1" applyFont="1" applyAlignment="1" applyProtection="1">
      <alignment/>
      <protection hidden="1"/>
    </xf>
    <xf numFmtId="171" fontId="21" fillId="0" borderId="57" xfId="0" applyNumberFormat="1" applyFont="1" applyBorder="1" applyAlignment="1" applyProtection="1">
      <alignment horizontal="left"/>
      <protection hidden="1"/>
    </xf>
    <xf numFmtId="168" fontId="21" fillId="0" borderId="46" xfId="0" applyNumberFormat="1" applyFont="1" applyBorder="1" applyAlignment="1" applyProtection="1">
      <alignment horizontal="right"/>
      <protection hidden="1"/>
    </xf>
    <xf numFmtId="168" fontId="11" fillId="0" borderId="0" xfId="0" applyNumberFormat="1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217</xdr:row>
      <xdr:rowOff>0</xdr:rowOff>
    </xdr:from>
    <xdr:to>
      <xdr:col>5</xdr:col>
      <xdr:colOff>0</xdr:colOff>
      <xdr:row>217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514475" y="32670750"/>
          <a:ext cx="150495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showGridLines="0" showRowColHeaders="0" workbookViewId="0" topLeftCell="A2">
      <selection activeCell="C13" sqref="C13"/>
    </sheetView>
  </sheetViews>
  <sheetFormatPr defaultColWidth="11.421875" defaultRowHeight="18" customHeight="1"/>
  <cols>
    <col min="1" max="1" width="5.8515625" style="1" customWidth="1"/>
    <col min="2" max="2" width="0.85546875" style="1" customWidth="1"/>
    <col min="3" max="6" width="14.7109375" style="1" customWidth="1"/>
    <col min="7" max="7" width="10.140625" style="1" customWidth="1"/>
    <col min="8" max="8" width="4.57421875" style="1" customWidth="1"/>
    <col min="9" max="10" width="11.421875" style="1" customWidth="1"/>
    <col min="11" max="11" width="4.57421875" style="1" customWidth="1"/>
    <col min="12" max="12" width="8.28125" style="1" customWidth="1"/>
    <col min="13" max="16384" width="11.421875" style="1" customWidth="1"/>
  </cols>
  <sheetData>
    <row r="1" ht="10.5" customHeight="1"/>
    <row r="2" spans="2:12" ht="3.75" customHeight="1">
      <c r="B2" s="2"/>
      <c r="C2" s="3"/>
      <c r="D2" s="3"/>
      <c r="E2" s="3"/>
      <c r="F2" s="3"/>
      <c r="G2" s="3"/>
      <c r="H2" s="3"/>
      <c r="I2" s="3"/>
      <c r="J2" s="3"/>
      <c r="K2" s="4"/>
      <c r="L2"/>
    </row>
    <row r="3" spans="2:12" ht="15.75" customHeight="1">
      <c r="B3" s="5"/>
      <c r="C3" s="6" t="s">
        <v>0</v>
      </c>
      <c r="D3" s="6"/>
      <c r="E3" s="6"/>
      <c r="F3" s="6"/>
      <c r="G3" s="6"/>
      <c r="H3" s="6"/>
      <c r="I3" s="6"/>
      <c r="J3" s="6"/>
      <c r="K3" s="7"/>
      <c r="L3"/>
    </row>
    <row r="4" spans="2:12" ht="12.75" customHeight="1">
      <c r="B4" s="5"/>
      <c r="C4" s="8" t="s">
        <v>1</v>
      </c>
      <c r="D4" s="8"/>
      <c r="E4" s="8"/>
      <c r="F4" s="8"/>
      <c r="G4" s="8"/>
      <c r="H4" s="8"/>
      <c r="I4" s="8"/>
      <c r="J4" s="8"/>
      <c r="K4" s="9"/>
      <c r="L4"/>
    </row>
    <row r="5" spans="2:12" ht="12.75" customHeight="1">
      <c r="B5" s="5"/>
      <c r="C5" s="8" t="s">
        <v>2</v>
      </c>
      <c r="D5" s="8"/>
      <c r="E5" s="8"/>
      <c r="F5" s="8"/>
      <c r="G5" s="8"/>
      <c r="H5" s="8"/>
      <c r="I5" s="8"/>
      <c r="J5" s="8"/>
      <c r="K5" s="9"/>
      <c r="L5"/>
    </row>
    <row r="6" spans="2:12" ht="3.75" customHeight="1">
      <c r="B6" s="10"/>
      <c r="C6" s="11"/>
      <c r="D6" s="11"/>
      <c r="E6" s="11"/>
      <c r="F6" s="11"/>
      <c r="G6" s="11"/>
      <c r="H6" s="11"/>
      <c r="I6" s="11"/>
      <c r="J6" s="11"/>
      <c r="K6" s="12"/>
      <c r="L6"/>
    </row>
    <row r="7" ht="6" customHeight="1"/>
    <row r="8" spans="2:12" ht="0.75" customHeight="1">
      <c r="B8" s="2"/>
      <c r="C8" s="3"/>
      <c r="D8" s="3"/>
      <c r="E8" s="3"/>
      <c r="F8" s="3"/>
      <c r="G8" s="3"/>
      <c r="H8" s="3"/>
      <c r="I8" s="3"/>
      <c r="J8" s="3"/>
      <c r="K8" s="4"/>
      <c r="L8"/>
    </row>
    <row r="9" spans="2:12" ht="18" customHeight="1">
      <c r="B9" s="5"/>
      <c r="C9" s="13" t="s">
        <v>3</v>
      </c>
      <c r="D9" s="13"/>
      <c r="E9" s="13"/>
      <c r="F9" s="13"/>
      <c r="G9" s="13"/>
      <c r="H9" s="13"/>
      <c r="I9" s="13"/>
      <c r="J9" s="13"/>
      <c r="K9" s="13"/>
      <c r="L9"/>
    </row>
    <row r="10" spans="2:12" ht="3.75" customHeight="1">
      <c r="B10" s="10"/>
      <c r="C10" s="11"/>
      <c r="D10" s="11"/>
      <c r="E10" s="11"/>
      <c r="F10" s="11"/>
      <c r="G10" s="11"/>
      <c r="H10" s="11"/>
      <c r="I10" s="11"/>
      <c r="J10" s="11"/>
      <c r="K10" s="12"/>
      <c r="L10"/>
    </row>
    <row r="11" ht="6" customHeight="1"/>
    <row r="13" ht="23.25" customHeight="1"/>
    <row r="15" ht="23.25" customHeight="1"/>
    <row r="17" ht="22.5" customHeight="1"/>
    <row r="18" ht="21.75" customHeight="1"/>
    <row r="19" spans="8:11" ht="6" customHeight="1">
      <c r="H19" s="14"/>
      <c r="I19" s="15"/>
      <c r="J19" s="15"/>
      <c r="K19" s="16"/>
    </row>
    <row r="20" spans="3:11" ht="12.75" customHeight="1">
      <c r="C20" s="17"/>
      <c r="H20" s="18" t="s">
        <v>4</v>
      </c>
      <c r="I20" s="18"/>
      <c r="J20" s="18"/>
      <c r="K20" s="18"/>
    </row>
    <row r="21" spans="3:11" ht="12.75" customHeight="1">
      <c r="C21"/>
      <c r="H21" s="18" t="s">
        <v>5</v>
      </c>
      <c r="I21" s="18"/>
      <c r="J21" s="18"/>
      <c r="K21" s="18"/>
    </row>
    <row r="22" spans="8:11" ht="12.75" customHeight="1">
      <c r="H22" s="18" t="s">
        <v>6</v>
      </c>
      <c r="I22" s="18"/>
      <c r="J22" s="18"/>
      <c r="K22" s="18"/>
    </row>
    <row r="23" spans="8:11" ht="12.75" customHeight="1">
      <c r="H23" s="19"/>
      <c r="I23" s="20"/>
      <c r="J23" s="20"/>
      <c r="K23" s="21"/>
    </row>
    <row r="24" spans="8:11" ht="12.75" customHeight="1">
      <c r="H24"/>
      <c r="I24" s="17"/>
      <c r="K24"/>
    </row>
    <row r="25" spans="9:11" ht="12.75" customHeight="1">
      <c r="I25" s="22"/>
      <c r="J25" s="23" t="s">
        <v>7</v>
      </c>
      <c r="K25" s="24"/>
    </row>
    <row r="26" spans="10:11" ht="12.75" customHeight="1">
      <c r="J26" s="25" t="s">
        <v>8</v>
      </c>
      <c r="K26" s="24"/>
    </row>
  </sheetData>
  <sheetProtection password="C67C" sheet="1"/>
  <mergeCells count="4">
    <mergeCell ref="C9:K9"/>
    <mergeCell ref="H20:K20"/>
    <mergeCell ref="H21:K21"/>
    <mergeCell ref="H22:K22"/>
  </mergeCells>
  <printOptions/>
  <pageMargins left="0.7875" right="0.7875" top="0.9847222222222223" bottom="0.9840277777777777" header="0.49236111111111114" footer="0.5118055555555555"/>
  <pageSetup fitToHeight="1" fitToWidth="1" horizontalDpi="300" verticalDpi="300" orientation="landscape" paperSize="9"/>
  <headerFooter alignWithMargins="0">
    <oddHeader>&amp;C&amp;A</oddHeader>
  </headerFooter>
  <legacyDrawing r:id="rId2"/>
  <oleObjects>
    <oleObject progId="Figura do Paintbrush" shapeId="730888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K32"/>
  <sheetViews>
    <sheetView showRowColHeaders="0" workbookViewId="0" topLeftCell="A1">
      <selection activeCell="A1" sqref="A1"/>
    </sheetView>
  </sheetViews>
  <sheetFormatPr defaultColWidth="11.421875" defaultRowHeight="7.5" customHeight="1"/>
  <cols>
    <col min="1" max="1" width="4.7109375" style="1" customWidth="1"/>
    <col min="2" max="2" width="7.28125" style="1" customWidth="1"/>
    <col min="3" max="3" width="14.140625" style="1" customWidth="1"/>
    <col min="4" max="9" width="10.7109375" style="1" customWidth="1"/>
    <col min="10" max="10" width="2.57421875" style="1" customWidth="1"/>
    <col min="11" max="11" width="18.7109375" style="1" customWidth="1"/>
    <col min="12" max="16384" width="11.421875" style="1" customWidth="1"/>
  </cols>
  <sheetData>
    <row r="2" spans="2:9" ht="3" customHeight="1">
      <c r="B2" s="2"/>
      <c r="C2" s="3"/>
      <c r="D2" s="3"/>
      <c r="E2" s="3"/>
      <c r="F2" s="3"/>
      <c r="G2" s="3"/>
      <c r="H2" s="3"/>
      <c r="I2" s="4"/>
    </row>
    <row r="3" spans="2:11" ht="15.75" customHeight="1">
      <c r="B3" s="124" t="s">
        <v>188</v>
      </c>
      <c r="C3" s="124"/>
      <c r="D3" s="124"/>
      <c r="E3" s="124"/>
      <c r="F3" s="124"/>
      <c r="G3" s="124"/>
      <c r="H3" s="124"/>
      <c r="I3" s="124"/>
      <c r="K3"/>
    </row>
    <row r="4" spans="2:11" ht="2.25" customHeight="1">
      <c r="B4" s="10"/>
      <c r="C4" s="11"/>
      <c r="D4" s="11"/>
      <c r="E4" s="11"/>
      <c r="F4" s="11"/>
      <c r="G4" s="11"/>
      <c r="H4" s="11"/>
      <c r="I4" s="11"/>
      <c r="K4" t="str">
        <f>ME!C8</f>
        <v>SSTT</v>
      </c>
    </row>
    <row r="5" spans="2:11" ht="4.5" customHeight="1">
      <c r="B5" s="103"/>
      <c r="C5" s="104"/>
      <c r="D5" s="104"/>
      <c r="E5" s="104"/>
      <c r="F5" s="105"/>
      <c r="G5" s="105"/>
      <c r="H5" s="105"/>
      <c r="I5" s="105"/>
      <c r="K5"/>
    </row>
    <row r="6" spans="1:9" ht="10.5" customHeight="1">
      <c r="A6" s="105"/>
      <c r="B6" s="125"/>
      <c r="C6" s="126"/>
      <c r="D6" s="127" t="s">
        <v>189</v>
      </c>
      <c r="E6" s="127" t="s">
        <v>190</v>
      </c>
      <c r="F6" s="127" t="s">
        <v>191</v>
      </c>
      <c r="G6" s="127" t="s">
        <v>192</v>
      </c>
      <c r="H6" s="127" t="s">
        <v>193</v>
      </c>
      <c r="I6" s="127" t="s">
        <v>194</v>
      </c>
    </row>
    <row r="7" spans="1:11" ht="10.5" customHeight="1">
      <c r="A7" s="105"/>
      <c r="B7" s="128" t="s">
        <v>195</v>
      </c>
      <c r="C7" s="129"/>
      <c r="D7" s="130"/>
      <c r="E7" s="130"/>
      <c r="F7" s="131">
        <f>PL!F187</f>
        <v>0.9650810072727273</v>
      </c>
      <c r="G7" s="131">
        <f>PL!G187</f>
        <v>67.21115066166435</v>
      </c>
      <c r="H7" s="131">
        <f>PL!H187</f>
        <v>19.337506289698577</v>
      </c>
      <c r="I7" s="131">
        <f>PL!I187</f>
        <v>18.467318506662142</v>
      </c>
      <c r="K7" s="132" t="str">
        <f>ME!C7</f>
        <v>SANTA MARIA</v>
      </c>
    </row>
    <row r="8" spans="1:11" ht="10.5" customHeight="1">
      <c r="A8" s="105"/>
      <c r="B8" s="128" t="s">
        <v>196</v>
      </c>
      <c r="C8" s="129"/>
      <c r="D8" s="130"/>
      <c r="E8" s="130"/>
      <c r="F8" s="131">
        <f>PL!F188</f>
        <v>0.013298400000000002</v>
      </c>
      <c r="G8" s="131">
        <f>PL!G188</f>
        <v>0.9261406651084301</v>
      </c>
      <c r="H8" s="131">
        <f>PL!H188</f>
        <v>0.2664624955884724</v>
      </c>
      <c r="I8" s="131">
        <f>PL!I188</f>
        <v>0.25447168328699116</v>
      </c>
      <c r="K8" s="133" t="str">
        <f>ME!C6</f>
        <v>FEVEREIRO/2014</v>
      </c>
    </row>
    <row r="9" spans="1:9" ht="10.5" customHeight="1">
      <c r="A9" s="105"/>
      <c r="B9" s="128" t="s">
        <v>197</v>
      </c>
      <c r="C9" s="129"/>
      <c r="D9" s="130"/>
      <c r="E9" s="130"/>
      <c r="F9" s="131">
        <f>PL!F189</f>
        <v>0.14349013949013953</v>
      </c>
      <c r="G9" s="131">
        <f>PL!G189</f>
        <v>9.99308587678963</v>
      </c>
      <c r="H9" s="131">
        <f>PL!H189</f>
        <v>2.875138412206024</v>
      </c>
      <c r="I9" s="131">
        <f>PL!I189</f>
        <v>2.745757183656753</v>
      </c>
    </row>
    <row r="10" spans="1:11" ht="10.5" customHeight="1">
      <c r="A10" s="105"/>
      <c r="B10" s="128" t="s">
        <v>198</v>
      </c>
      <c r="C10" s="129"/>
      <c r="D10" s="130"/>
      <c r="E10" s="130"/>
      <c r="F10" s="131">
        <f>PL!F190</f>
        <v>0.3140246430730867</v>
      </c>
      <c r="G10" s="131">
        <f>PL!G190</f>
        <v>21.8696227964376</v>
      </c>
      <c r="H10" s="131">
        <f>PL!H190</f>
        <v>6.292169739933675</v>
      </c>
      <c r="I10" s="131">
        <f>PL!I190</f>
        <v>6.00902210163666</v>
      </c>
      <c r="K10" s="134"/>
    </row>
    <row r="11" spans="1:11" ht="10.5" customHeight="1">
      <c r="A11" s="135"/>
      <c r="B11" s="136" t="s">
        <v>199</v>
      </c>
      <c r="C11" s="137"/>
      <c r="D11" s="138"/>
      <c r="E11" s="138"/>
      <c r="F11" s="139">
        <f>SUM(F7:F10)</f>
        <v>1.4358941898359534</v>
      </c>
      <c r="G11" s="138">
        <f>SUM(G7:G10)</f>
        <v>100</v>
      </c>
      <c r="H11" s="138">
        <f>SUM(H7:H10)</f>
        <v>28.771276937426748</v>
      </c>
      <c r="I11" s="138">
        <f>SUM(I7:I10)</f>
        <v>27.476569475242545</v>
      </c>
      <c r="K11" s="140" t="s">
        <v>200</v>
      </c>
    </row>
    <row r="12" spans="1:11" ht="10.5" customHeight="1">
      <c r="A12" s="105"/>
      <c r="B12" s="128" t="s">
        <v>170</v>
      </c>
      <c r="C12" s="129"/>
      <c r="D12" s="130">
        <f>PL!D194</f>
        <v>1669.3702266622265</v>
      </c>
      <c r="E12" s="130">
        <f>PL!E193</f>
        <v>385624.5223589743</v>
      </c>
      <c r="F12" s="141">
        <f>PL!F194</f>
        <v>0.35376773758907787</v>
      </c>
      <c r="G12" s="130">
        <f>PL!G194</f>
        <v>9.951757038816062</v>
      </c>
      <c r="H12" s="130">
        <f>PL!H194</f>
        <v>7.088509461038435</v>
      </c>
      <c r="I12" s="130">
        <f>PL!I194</f>
        <v>6.769526535291704</v>
      </c>
      <c r="K12" s="140"/>
    </row>
    <row r="13" spans="1:11" ht="10.5" customHeight="1">
      <c r="A13" s="105"/>
      <c r="B13" s="142" t="s">
        <v>201</v>
      </c>
      <c r="C13" s="143"/>
      <c r="D13" s="144">
        <f>PL!D195</f>
        <v>1639.5697266622265</v>
      </c>
      <c r="E13" s="144">
        <f>PL!E194</f>
        <v>378740.6068589743</v>
      </c>
      <c r="F13" s="145">
        <f>PL!F195</f>
        <v>0.3474525084711475</v>
      </c>
      <c r="G13" s="144">
        <f>PL!G195</f>
        <v>9.774104813504604</v>
      </c>
      <c r="H13" s="144">
        <f>PL!H195</f>
        <v>6.961970049456838</v>
      </c>
      <c r="I13" s="144">
        <f>PL!I195</f>
        <v>6.648681397231279</v>
      </c>
      <c r="K13" s="146" t="s">
        <v>202</v>
      </c>
    </row>
    <row r="14" spans="1:11" ht="10.5" customHeight="1">
      <c r="A14" s="105"/>
      <c r="B14" s="103" t="s">
        <v>203</v>
      </c>
      <c r="C14" s="143"/>
      <c r="D14" s="144">
        <f>PL!D196</f>
        <v>29.8005</v>
      </c>
      <c r="E14" s="144">
        <f>PL!E195</f>
        <v>6883.9155</v>
      </c>
      <c r="F14" s="145">
        <f>PL!F196</f>
        <v>0.006315229117930371</v>
      </c>
      <c r="G14" s="144">
        <f>PL!G196</f>
        <v>0.1776522253114583</v>
      </c>
      <c r="H14" s="144">
        <f>PL!H196</f>
        <v>0.12653941158159732</v>
      </c>
      <c r="I14" s="144">
        <f>PL!I196</f>
        <v>0.12084513806042545</v>
      </c>
      <c r="K14" s="147"/>
    </row>
    <row r="15" spans="1:11" ht="10.5" customHeight="1">
      <c r="A15" s="105"/>
      <c r="B15" s="148" t="s">
        <v>171</v>
      </c>
      <c r="C15" s="129"/>
      <c r="D15" s="130">
        <f>PL!D197</f>
        <v>1424.1451117882116</v>
      </c>
      <c r="E15" s="130">
        <f>PL!E196</f>
        <v>328977.5208230769</v>
      </c>
      <c r="F15" s="141">
        <f>PL!F197</f>
        <v>0.3018003952323993</v>
      </c>
      <c r="G15" s="130">
        <f>PL!G197</f>
        <v>8.489875950927377</v>
      </c>
      <c r="H15" s="130">
        <f>PL!H197</f>
        <v>6.047230229442071</v>
      </c>
      <c r="I15" s="130">
        <f>PL!I197</f>
        <v>5.775104869117177</v>
      </c>
      <c r="K15" s="147">
        <f>PL!E217</f>
        <v>2.635792322855156</v>
      </c>
    </row>
    <row r="16" spans="1:11" ht="10.5" customHeight="1">
      <c r="A16" s="105"/>
      <c r="B16" s="142" t="s">
        <v>201</v>
      </c>
      <c r="C16" s="143"/>
      <c r="D16" s="144">
        <f>PL!D198</f>
        <v>1212.67827022977</v>
      </c>
      <c r="E16" s="144">
        <f>PL!E197</f>
        <v>280128.6804230769</v>
      </c>
      <c r="F16" s="145">
        <f>PL!F198</f>
        <v>0.25698700098442906</v>
      </c>
      <c r="G16" s="144">
        <f>PL!G198</f>
        <v>7.229240895057755</v>
      </c>
      <c r="H16" s="144">
        <f>PL!H198</f>
        <v>5.149295976666981</v>
      </c>
      <c r="I16" s="144">
        <f>PL!I198</f>
        <v>4.917577657716967</v>
      </c>
      <c r="K16" s="149"/>
    </row>
    <row r="17" spans="1:9" ht="10.5" customHeight="1">
      <c r="A17" s="105"/>
      <c r="B17" s="103" t="s">
        <v>203</v>
      </c>
      <c r="C17" s="143"/>
      <c r="D17" s="144">
        <f>PL!D199</f>
        <v>119.202</v>
      </c>
      <c r="E17" s="144">
        <f>PL!E198</f>
        <v>27535.662</v>
      </c>
      <c r="F17" s="145">
        <f>PL!F199</f>
        <v>0.025260916471721483</v>
      </c>
      <c r="G17" s="144">
        <f>PL!G199</f>
        <v>0.7106089012458332</v>
      </c>
      <c r="H17" s="144">
        <f>PL!H199</f>
        <v>0.5061576463263893</v>
      </c>
      <c r="I17" s="144">
        <f>PL!I199</f>
        <v>0.4833805522417018</v>
      </c>
    </row>
    <row r="18" spans="1:9" ht="10.5" customHeight="1">
      <c r="A18" s="105"/>
      <c r="B18" s="105" t="s">
        <v>204</v>
      </c>
      <c r="C18" s="143"/>
      <c r="D18" s="144">
        <f>PL!D200</f>
        <v>92.26484155844155</v>
      </c>
      <c r="E18" s="144">
        <f>PL!E199</f>
        <v>21313.178399999997</v>
      </c>
      <c r="F18" s="145">
        <f>PL!F200</f>
        <v>0.019552477776248793</v>
      </c>
      <c r="G18" s="144">
        <f>PL!G200</f>
        <v>0.5500261546237901</v>
      </c>
      <c r="H18" s="144">
        <f>PL!H200</f>
        <v>0.3917766064487005</v>
      </c>
      <c r="I18" s="144">
        <f>PL!I200</f>
        <v>0.374146659158509</v>
      </c>
    </row>
    <row r="19" spans="1:9" ht="10.5" customHeight="1">
      <c r="A19" s="105"/>
      <c r="B19" s="148" t="s">
        <v>205</v>
      </c>
      <c r="C19" s="129"/>
      <c r="D19" s="130">
        <f>PL!D201</f>
        <v>14156.109661697828</v>
      </c>
      <c r="E19" s="130">
        <f>PL!E200</f>
        <v>2972783.028956544</v>
      </c>
      <c r="F19" s="141">
        <f>PL!F201</f>
        <v>2.727198778915228</v>
      </c>
      <c r="G19" s="130">
        <f>PL!G201</f>
        <v>76.71818755797736</v>
      </c>
      <c r="H19" s="130">
        <f>PL!H201</f>
        <v>54.64538535429722</v>
      </c>
      <c r="I19" s="130">
        <f>PL!I201</f>
        <v>52.18634301335385</v>
      </c>
    </row>
    <row r="20" spans="1:9" ht="10.5" customHeight="1">
      <c r="A20" s="105"/>
      <c r="B20" s="105" t="s">
        <v>206</v>
      </c>
      <c r="C20" s="143"/>
      <c r="D20" s="144">
        <f>PL!D202</f>
        <v>10550.25260736</v>
      </c>
      <c r="E20" s="144">
        <f>PL!E201</f>
        <v>2215553.0475456</v>
      </c>
      <c r="F20" s="145">
        <f>PL!F202</f>
        <v>2.032524239755608</v>
      </c>
      <c r="G20" s="144">
        <f>PL!G202</f>
        <v>57.176461447276495</v>
      </c>
      <c r="H20" s="144">
        <f>PL!H202</f>
        <v>40.726063381259536</v>
      </c>
      <c r="I20" s="144">
        <f>PL!I202</f>
        <v>38.89339052910286</v>
      </c>
    </row>
    <row r="21" spans="1:9" ht="10.5" customHeight="1">
      <c r="A21" s="105"/>
      <c r="B21" s="105" t="s">
        <v>207</v>
      </c>
      <c r="C21" s="143"/>
      <c r="D21" s="144">
        <f>PL!D203</f>
        <v>1424.2841019936</v>
      </c>
      <c r="E21" s="144">
        <f>PL!E202</f>
        <v>299099.661418656</v>
      </c>
      <c r="F21" s="145">
        <f>PL!F203</f>
        <v>0.27439077236700704</v>
      </c>
      <c r="G21" s="144">
        <f>PL!G203</f>
        <v>7.718822295382326</v>
      </c>
      <c r="H21" s="144">
        <f>PL!H203</f>
        <v>5.498018556470037</v>
      </c>
      <c r="I21" s="144">
        <f>PL!I203</f>
        <v>5.250607721428886</v>
      </c>
    </row>
    <row r="22" spans="1:9" ht="10.5" customHeight="1">
      <c r="A22" s="105"/>
      <c r="B22" s="105" t="s">
        <v>208</v>
      </c>
      <c r="C22" s="143"/>
      <c r="D22" s="144">
        <f>PL!D204</f>
        <v>1107.7765237728</v>
      </c>
      <c r="E22" s="144">
        <f>PL!E203</f>
        <v>232633.069992288</v>
      </c>
      <c r="F22" s="145">
        <f>PL!F204</f>
        <v>0.2134150451743388</v>
      </c>
      <c r="G22" s="144">
        <f>PL!G204</f>
        <v>6.003528451964031</v>
      </c>
      <c r="H22" s="144">
        <f>PL!H204</f>
        <v>4.276236655032251</v>
      </c>
      <c r="I22" s="144">
        <f>PL!I204</f>
        <v>4.083806005555799</v>
      </c>
    </row>
    <row r="23" spans="1:9" ht="10.5" customHeight="1">
      <c r="A23" s="105"/>
      <c r="B23" s="103" t="s">
        <v>209</v>
      </c>
      <c r="C23" s="143"/>
      <c r="D23" s="144">
        <f>PL!D205</f>
        <v>173.79642857142858</v>
      </c>
      <c r="E23" s="144">
        <f>PL!E204</f>
        <v>36497.25</v>
      </c>
      <c r="F23" s="145">
        <f>PL!F205</f>
        <v>0.03348217971652676</v>
      </c>
      <c r="G23" s="144">
        <f>PL!G205</f>
        <v>0.9418793243828488</v>
      </c>
      <c r="H23" s="144">
        <f>PL!H205</f>
        <v>0.6708886155482955</v>
      </c>
      <c r="I23" s="144">
        <f>PL!I205</f>
        <v>0.6406986278486221</v>
      </c>
    </row>
    <row r="24" spans="1:9" ht="10.5" customHeight="1">
      <c r="A24" s="105"/>
      <c r="B24" s="103" t="s">
        <v>210</v>
      </c>
      <c r="C24" s="143"/>
      <c r="D24" s="144">
        <f>PL!D206</f>
        <v>900</v>
      </c>
      <c r="E24" s="144">
        <f>PL!E205</f>
        <v>189000</v>
      </c>
      <c r="F24" s="145">
        <f>PL!F206</f>
        <v>0.17338654190174763</v>
      </c>
      <c r="G24" s="144">
        <f>PL!G206</f>
        <v>4.87749603897166</v>
      </c>
      <c r="H24" s="144">
        <f>PL!H206</f>
        <v>3.4741781459871044</v>
      </c>
      <c r="I24" s="144">
        <f>PL!I206</f>
        <v>3.3178401294176845</v>
      </c>
    </row>
    <row r="25" spans="1:9" ht="10.5" customHeight="1">
      <c r="A25" s="105"/>
      <c r="B25" s="148" t="s">
        <v>211</v>
      </c>
      <c r="C25" s="129"/>
      <c r="D25" s="130">
        <f>PL!D207</f>
        <v>811.9220995670996</v>
      </c>
      <c r="E25" s="130">
        <f>PL!E206</f>
        <v>187554.005</v>
      </c>
      <c r="F25" s="141">
        <f>PL!F207</f>
        <v>0.17206000183477826</v>
      </c>
      <c r="G25" s="130">
        <f>PL!G207</f>
        <v>4.840179452279212</v>
      </c>
      <c r="H25" s="130">
        <f>PL!H207</f>
        <v>3.4475980177955354</v>
      </c>
      <c r="I25" s="130">
        <f>PL!I207</f>
        <v>3.2924561069947362</v>
      </c>
    </row>
    <row r="26" spans="1:9" ht="10.5" customHeight="1">
      <c r="A26" s="105"/>
      <c r="B26" s="142" t="s">
        <v>212</v>
      </c>
      <c r="C26" s="143"/>
      <c r="D26" s="144">
        <f>PL!D208</f>
        <v>745.0125</v>
      </c>
      <c r="E26" s="144">
        <f>PL!E207</f>
        <v>172097.8875</v>
      </c>
      <c r="F26" s="145">
        <f>PL!F208</f>
        <v>0.15788072794825928</v>
      </c>
      <c r="G26" s="144">
        <f>PL!G208</f>
        <v>4.441305632786459</v>
      </c>
      <c r="H26" s="144">
        <f>PL!H208</f>
        <v>3.163485289539933</v>
      </c>
      <c r="I26" s="144">
        <f>PL!I208</f>
        <v>3.021128451510636</v>
      </c>
    </row>
    <row r="27" spans="1:9" ht="10.5" customHeight="1">
      <c r="A27" s="105"/>
      <c r="B27" s="103" t="s">
        <v>213</v>
      </c>
      <c r="C27" s="143"/>
      <c r="D27" s="144">
        <f>PL!D209</f>
        <v>8.752474747474748</v>
      </c>
      <c r="E27" s="144">
        <f>PL!E208</f>
        <v>2021.821666666667</v>
      </c>
      <c r="F27" s="145">
        <f>PL!F209</f>
        <v>0.001854797180557467</v>
      </c>
      <c r="G27" s="144">
        <f>PL!G209</f>
        <v>0.052176863336898145</v>
      </c>
      <c r="H27" s="144">
        <f>PL!H209</f>
        <v>0.0371649134889765</v>
      </c>
      <c r="I27" s="144">
        <f>PL!I209</f>
        <v>0.03549249238197256</v>
      </c>
    </row>
    <row r="28" spans="1:9" ht="10.5" customHeight="1">
      <c r="A28" s="105"/>
      <c r="B28" s="103" t="s">
        <v>214</v>
      </c>
      <c r="C28" s="143"/>
      <c r="D28" s="144">
        <f>PL!D210</f>
        <v>33.04083333333333</v>
      </c>
      <c r="E28" s="144">
        <f>PL!E209</f>
        <v>7632.4325</v>
      </c>
      <c r="F28" s="145">
        <f>PL!F210</f>
        <v>0.007001910462822806</v>
      </c>
      <c r="G28" s="144">
        <f>PL!G210</f>
        <v>0.19696909675380195</v>
      </c>
      <c r="H28" s="144">
        <f>PL!H210</f>
        <v>0.14029857244561755</v>
      </c>
      <c r="I28" s="144">
        <f>PL!I210</f>
        <v>0.13398513668556475</v>
      </c>
    </row>
    <row r="29" spans="1:9" ht="10.5" customHeight="1">
      <c r="A29" s="105"/>
      <c r="B29" s="103" t="s">
        <v>215</v>
      </c>
      <c r="C29" s="143"/>
      <c r="D29" s="130">
        <f>PL!D211</f>
        <v>25.116291486291487</v>
      </c>
      <c r="E29" s="130">
        <f>PL!E210</f>
        <v>5801.863333333334</v>
      </c>
      <c r="F29" s="141">
        <f>PL!F211</f>
        <v>0.005322566243138694</v>
      </c>
      <c r="G29" s="130">
        <f>PL!G211</f>
        <v>0.14972785940205424</v>
      </c>
      <c r="H29" s="130">
        <f>PL!H211</f>
        <v>0.10664924232100827</v>
      </c>
      <c r="I29" s="130">
        <f>PL!I211</f>
        <v>0.10185002641656289</v>
      </c>
    </row>
    <row r="30" spans="1:9" ht="10.5" customHeight="1">
      <c r="A30" s="135"/>
      <c r="B30" s="136" t="s">
        <v>216</v>
      </c>
      <c r="C30" s="126"/>
      <c r="D30" s="138">
        <f>PL!D212</f>
        <v>18061.547099715364</v>
      </c>
      <c r="E30" s="138">
        <f>PL!E211</f>
        <v>3874939.0771385953</v>
      </c>
      <c r="F30" s="150">
        <f>PL!F212</f>
        <v>3.554826913571483</v>
      </c>
      <c r="G30" s="138">
        <f>PL!G212</f>
        <v>100.00000000000001</v>
      </c>
      <c r="H30" s="138">
        <f>PL!H212</f>
        <v>71.22872306257327</v>
      </c>
      <c r="I30" s="138">
        <f>PL!I212</f>
        <v>68.02343052475746</v>
      </c>
    </row>
    <row r="31" spans="2:9" ht="10.5" customHeight="1">
      <c r="B31" s="151" t="s">
        <v>217</v>
      </c>
      <c r="C31" s="152"/>
      <c r="D31" s="153"/>
      <c r="E31" s="153"/>
      <c r="F31" s="145">
        <f>PL!F214</f>
        <v>4.990721103407436</v>
      </c>
      <c r="G31" s="144"/>
      <c r="H31" s="144">
        <f>PL!H214</f>
        <v>100.00000000000001</v>
      </c>
      <c r="I31" s="144">
        <f>PL!I214</f>
        <v>95.5</v>
      </c>
    </row>
    <row r="32" spans="2:9" ht="10.5" customHeight="1">
      <c r="B32" s="136" t="s">
        <v>218</v>
      </c>
      <c r="C32" s="154"/>
      <c r="D32" s="155"/>
      <c r="E32" s="155"/>
      <c r="F32" s="156">
        <f>PL!F216</f>
        <v>5.2258859721543836</v>
      </c>
      <c r="G32" s="155"/>
      <c r="H32" s="155"/>
      <c r="I32" s="138">
        <f>PL!I216</f>
        <v>4.5000000000000036</v>
      </c>
    </row>
  </sheetData>
  <sheetProtection password="CA5F" sheet="1"/>
  <mergeCells count="1">
    <mergeCell ref="B3:I3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landscape" paperSize="9" scale="110"/>
  <headerFooter alignWithMargins="0">
    <oddFooter>&amp;R&amp;"Small Fonts,Regular"&amp;3&amp;F   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4"/>
  <sheetViews>
    <sheetView showRowColHeaders="0" workbookViewId="0" topLeftCell="A1">
      <selection activeCell="A1" sqref="A1"/>
    </sheetView>
  </sheetViews>
  <sheetFormatPr defaultColWidth="11.421875" defaultRowHeight="9" customHeight="1"/>
  <cols>
    <col min="1" max="1" width="5.8515625" style="1" customWidth="1"/>
    <col min="2" max="2" width="13.7109375" style="1" customWidth="1"/>
    <col min="3" max="4" width="12.7109375" style="1" customWidth="1"/>
    <col min="5" max="5" width="11.421875" style="1" customWidth="1"/>
    <col min="6" max="6" width="5.28125" style="1" customWidth="1"/>
    <col min="7" max="7" width="13.7109375" style="1" customWidth="1"/>
    <col min="8" max="9" width="12.7109375" style="1" customWidth="1"/>
    <col min="10" max="10" width="11.421875" style="1" customWidth="1"/>
    <col min="11" max="11" width="1.28515625" style="1" customWidth="1"/>
    <col min="12" max="16384" width="11.421875" style="1" customWidth="1"/>
  </cols>
  <sheetData>
    <row r="2" spans="2:11" ht="3" customHeight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5.75" customHeight="1">
      <c r="B3" s="49" t="s">
        <v>219</v>
      </c>
      <c r="C3" s="49"/>
      <c r="D3" s="49"/>
      <c r="E3" s="49"/>
      <c r="F3" s="49"/>
      <c r="G3" s="49"/>
      <c r="H3" s="49"/>
      <c r="I3" s="49"/>
      <c r="J3" s="49"/>
      <c r="K3" s="27"/>
    </row>
    <row r="4" spans="2:11" ht="3" customHeight="1">
      <c r="B4" s="10"/>
      <c r="C4" s="11"/>
      <c r="D4" s="11"/>
      <c r="E4" s="11"/>
      <c r="F4" s="11"/>
      <c r="G4" s="11"/>
      <c r="H4" s="11"/>
      <c r="I4" s="11"/>
      <c r="J4" s="11"/>
      <c r="K4" s="28" t="s">
        <v>10</v>
      </c>
    </row>
    <row r="5" ht="12.75" customHeight="1"/>
    <row r="6" spans="2:10" ht="12" customHeight="1">
      <c r="B6" s="157" t="s">
        <v>220</v>
      </c>
      <c r="C6" s="157"/>
      <c r="D6" s="157"/>
      <c r="E6" s="157"/>
      <c r="G6" s="157" t="s">
        <v>221</v>
      </c>
      <c r="H6" s="157"/>
      <c r="I6" s="157"/>
      <c r="J6" s="157"/>
    </row>
    <row r="7" spans="2:10" ht="12" customHeight="1">
      <c r="B7" s="158"/>
      <c r="C7" s="158" t="s">
        <v>222</v>
      </c>
      <c r="D7" s="158" t="s">
        <v>223</v>
      </c>
      <c r="E7" s="158"/>
      <c r="G7" s="158"/>
      <c r="H7" s="158" t="s">
        <v>222</v>
      </c>
      <c r="I7" s="158" t="s">
        <v>223</v>
      </c>
      <c r="J7" s="158"/>
    </row>
    <row r="8" spans="2:10" ht="12" customHeight="1">
      <c r="B8" s="158" t="s">
        <v>224</v>
      </c>
      <c r="C8" s="159">
        <v>0.35</v>
      </c>
      <c r="D8" s="159">
        <v>0.39</v>
      </c>
      <c r="E8" s="158"/>
      <c r="G8" s="160"/>
      <c r="H8" s="161">
        <v>0.0033</v>
      </c>
      <c r="I8" s="161">
        <v>0.0083</v>
      </c>
      <c r="J8" s="160"/>
    </row>
    <row r="9" spans="2:5" ht="12" customHeight="1">
      <c r="B9" s="158" t="s">
        <v>225</v>
      </c>
      <c r="C9" s="159">
        <v>0.45</v>
      </c>
      <c r="D9" s="159">
        <v>0.5</v>
      </c>
      <c r="E9" s="158"/>
    </row>
    <row r="10" spans="2:10" ht="12" customHeight="1">
      <c r="B10" s="160" t="s">
        <v>226</v>
      </c>
      <c r="C10" s="162">
        <v>0.53</v>
      </c>
      <c r="D10" s="162">
        <v>0.65</v>
      </c>
      <c r="E10" s="160"/>
      <c r="G10" s="157" t="s">
        <v>227</v>
      </c>
      <c r="H10" s="157"/>
      <c r="I10" s="157"/>
      <c r="J10" s="157"/>
    </row>
    <row r="11" spans="7:10" ht="12" customHeight="1">
      <c r="G11" s="158"/>
      <c r="H11" s="158" t="s">
        <v>222</v>
      </c>
      <c r="I11" s="158" t="s">
        <v>223</v>
      </c>
      <c r="J11" s="158"/>
    </row>
    <row r="12" spans="2:10" ht="12" customHeight="1">
      <c r="B12" s="163" t="s">
        <v>228</v>
      </c>
      <c r="C12" s="163"/>
      <c r="D12" s="163"/>
      <c r="E12" s="163"/>
      <c r="G12" s="158" t="s">
        <v>229</v>
      </c>
      <c r="H12" s="159">
        <v>2.2</v>
      </c>
      <c r="I12" s="159">
        <v>2.8</v>
      </c>
      <c r="J12" s="158"/>
    </row>
    <row r="13" spans="2:10" ht="12" customHeight="1">
      <c r="B13" s="158"/>
      <c r="C13" s="158" t="s">
        <v>222</v>
      </c>
      <c r="D13" s="158" t="s">
        <v>223</v>
      </c>
      <c r="E13" s="158"/>
      <c r="G13" s="158" t="s">
        <v>230</v>
      </c>
      <c r="H13" s="159">
        <v>2.2</v>
      </c>
      <c r="I13" s="159">
        <v>2.8</v>
      </c>
      <c r="J13" s="158"/>
    </row>
    <row r="14" spans="2:10" ht="12" customHeight="1">
      <c r="B14" s="160"/>
      <c r="C14" s="164">
        <v>0.04</v>
      </c>
      <c r="D14" s="164">
        <v>0.06</v>
      </c>
      <c r="E14" s="160"/>
      <c r="G14" s="160" t="s">
        <v>231</v>
      </c>
      <c r="H14" s="162">
        <v>0.2</v>
      </c>
      <c r="I14" s="162">
        <v>0.5</v>
      </c>
      <c r="J14" s="160"/>
    </row>
    <row r="15" ht="12" customHeight="1"/>
    <row r="16" spans="2:10" ht="12" customHeight="1">
      <c r="B16" s="157" t="s">
        <v>232</v>
      </c>
      <c r="C16" s="157"/>
      <c r="D16" s="157"/>
      <c r="E16" s="157"/>
      <c r="G16" s="157" t="s">
        <v>233</v>
      </c>
      <c r="H16" s="157"/>
      <c r="I16" s="157"/>
      <c r="J16" s="157"/>
    </row>
    <row r="17" spans="2:10" ht="12" customHeight="1">
      <c r="B17" s="158"/>
      <c r="C17" s="158" t="s">
        <v>222</v>
      </c>
      <c r="D17" s="158" t="s">
        <v>223</v>
      </c>
      <c r="E17" s="158"/>
      <c r="G17" s="158"/>
      <c r="H17" s="158" t="s">
        <v>222</v>
      </c>
      <c r="I17" s="158" t="s">
        <v>223</v>
      </c>
      <c r="J17" s="158"/>
    </row>
    <row r="18" spans="2:10" ht="12" customHeight="1">
      <c r="B18" s="158" t="s">
        <v>234</v>
      </c>
      <c r="C18" s="165">
        <v>2.5</v>
      </c>
      <c r="D18" s="165">
        <v>3.5</v>
      </c>
      <c r="E18" s="158"/>
      <c r="G18" s="158" t="s">
        <v>235</v>
      </c>
      <c r="H18" s="159">
        <v>0.12</v>
      </c>
      <c r="I18" s="159">
        <v>0.15</v>
      </c>
      <c r="J18" s="158"/>
    </row>
    <row r="19" spans="2:10" ht="12" customHeight="1">
      <c r="B19" s="160" t="s">
        <v>236</v>
      </c>
      <c r="C19" s="166">
        <v>2</v>
      </c>
      <c r="D19" s="166">
        <v>3</v>
      </c>
      <c r="E19" s="160"/>
      <c r="G19" s="160" t="s">
        <v>237</v>
      </c>
      <c r="H19" s="162">
        <v>0.08</v>
      </c>
      <c r="I19" s="162">
        <v>0.13</v>
      </c>
      <c r="J19" s="160"/>
    </row>
    <row r="20" spans="7:10" ht="12" customHeight="1">
      <c r="G20" s="167"/>
      <c r="H20" s="168"/>
      <c r="I20" s="168"/>
      <c r="J20" s="167"/>
    </row>
    <row r="21" spans="2:10" ht="12" customHeight="1">
      <c r="B21" s="157" t="s">
        <v>238</v>
      </c>
      <c r="C21" s="157"/>
      <c r="D21" s="157"/>
      <c r="E21" s="157"/>
      <c r="G21" s="157" t="s">
        <v>239</v>
      </c>
      <c r="H21" s="157"/>
      <c r="I21" s="157"/>
      <c r="J21" s="157"/>
    </row>
    <row r="22" spans="2:10" ht="12" customHeight="1">
      <c r="B22" s="158"/>
      <c r="C22" s="158" t="s">
        <v>222</v>
      </c>
      <c r="D22" s="158" t="s">
        <v>223</v>
      </c>
      <c r="E22" s="158"/>
      <c r="G22" s="158"/>
      <c r="H22" s="158" t="s">
        <v>222</v>
      </c>
      <c r="I22" s="158" t="s">
        <v>223</v>
      </c>
      <c r="J22" s="158"/>
    </row>
    <row r="23" spans="2:10" ht="12" customHeight="1">
      <c r="B23" s="158" t="s">
        <v>234</v>
      </c>
      <c r="C23" s="169">
        <v>70000</v>
      </c>
      <c r="D23" s="169">
        <v>92000</v>
      </c>
      <c r="E23" s="158"/>
      <c r="G23" s="160"/>
      <c r="H23" s="161">
        <v>0.0017</v>
      </c>
      <c r="I23" s="161">
        <v>0.0033</v>
      </c>
      <c r="J23" s="160"/>
    </row>
    <row r="24" spans="2:5" ht="12" customHeight="1">
      <c r="B24" s="160" t="s">
        <v>236</v>
      </c>
      <c r="C24" s="170">
        <v>85000</v>
      </c>
      <c r="D24" s="170">
        <v>125000</v>
      </c>
      <c r="E24" s="160"/>
    </row>
  </sheetData>
  <sheetProtection password="CA5F" sheet="1"/>
  <mergeCells count="8">
    <mergeCell ref="B3:J3"/>
    <mergeCell ref="B6:E6"/>
    <mergeCell ref="G6:J6"/>
    <mergeCell ref="G10:J10"/>
    <mergeCell ref="B16:E16"/>
    <mergeCell ref="G16:J16"/>
    <mergeCell ref="B21:E21"/>
    <mergeCell ref="G21:J21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&amp;C&amp;A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18"/>
  <sheetViews>
    <sheetView showRowColHeaders="0" workbookViewId="0" topLeftCell="A1">
      <selection activeCell="I4" sqref="I4"/>
    </sheetView>
  </sheetViews>
  <sheetFormatPr defaultColWidth="11.421875" defaultRowHeight="12.75"/>
  <cols>
    <col min="1" max="1" width="2.57421875" style="171" customWidth="1"/>
    <col min="2" max="2" width="8.8515625" style="171" customWidth="1"/>
    <col min="3" max="11" width="11.28125" style="171" customWidth="1"/>
    <col min="12" max="16384" width="11.421875" style="171" customWidth="1"/>
  </cols>
  <sheetData>
    <row r="1" spans="1:43" ht="12">
      <c r="A1" s="105"/>
      <c r="B1" s="172"/>
      <c r="C1" s="172"/>
      <c r="D1" s="172"/>
      <c r="E1" s="172"/>
      <c r="F1" s="172"/>
      <c r="G1" s="151"/>
      <c r="H1" s="172"/>
      <c r="I1" s="173"/>
      <c r="J1" s="172"/>
      <c r="K1" s="172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1:43" ht="12">
      <c r="A2" s="105"/>
      <c r="B2" s="172"/>
      <c r="C2" s="172"/>
      <c r="D2" s="172"/>
      <c r="E2" s="172"/>
      <c r="F2" s="172"/>
      <c r="G2" s="151"/>
      <c r="H2" s="174"/>
      <c r="I2" s="175"/>
      <c r="J2" s="172"/>
      <c r="K2" s="172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1:43" ht="3" customHeight="1">
      <c r="A3" s="135"/>
      <c r="B3" s="135"/>
      <c r="C3" s="135"/>
      <c r="D3" s="135"/>
      <c r="E3" s="135"/>
      <c r="F3" s="135"/>
      <c r="G3" s="135"/>
      <c r="H3" s="174"/>
      <c r="I3" s="135"/>
      <c r="J3" s="135"/>
      <c r="K3" s="13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1:43" ht="12.75">
      <c r="A4" s="135"/>
      <c r="B4" s="135"/>
      <c r="C4" s="135"/>
      <c r="D4" s="135"/>
      <c r="E4" s="135"/>
      <c r="F4" s="135"/>
      <c r="G4" s="135"/>
      <c r="H4" s="174" t="s">
        <v>240</v>
      </c>
      <c r="I4" s="176" t="str">
        <f>ME!C7</f>
        <v>SANTA MARIA</v>
      </c>
      <c r="J4" s="177"/>
      <c r="K4" s="177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1:43" ht="3" customHeight="1">
      <c r="A5" s="135"/>
      <c r="B5" s="135"/>
      <c r="C5" s="135"/>
      <c r="D5" s="135"/>
      <c r="E5" s="135"/>
      <c r="F5" s="172"/>
      <c r="G5" s="135"/>
      <c r="H5" s="135"/>
      <c r="I5" s="135"/>
      <c r="J5" s="135"/>
      <c r="K5" s="13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</row>
    <row r="6" spans="1:43" ht="12">
      <c r="A6" s="105"/>
      <c r="B6" s="105"/>
      <c r="C6" s="105"/>
      <c r="D6" s="105"/>
      <c r="E6" s="105"/>
      <c r="F6" s="105"/>
      <c r="G6" s="105"/>
      <c r="H6" s="174" t="s">
        <v>241</v>
      </c>
      <c r="I6" s="178" t="str">
        <f>ME!C6</f>
        <v>FEVEREIRO/2014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</row>
    <row r="7" spans="1:43" ht="12.75" customHeight="1">
      <c r="A7" s="179" t="s">
        <v>242</v>
      </c>
      <c r="B7" s="180"/>
      <c r="C7" s="181"/>
      <c r="D7" s="135"/>
      <c r="E7" s="135"/>
      <c r="F7" s="135"/>
      <c r="G7" s="105"/>
      <c r="H7" s="13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</row>
    <row r="8" spans="1:43" ht="12.75" customHeight="1">
      <c r="A8" s="179"/>
      <c r="B8" s="180"/>
      <c r="C8" s="181"/>
      <c r="D8" s="135"/>
      <c r="E8" s="181" t="s">
        <v>243</v>
      </c>
      <c r="F8" s="135"/>
      <c r="G8" s="105"/>
      <c r="H8" s="13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</row>
    <row r="9" spans="1:43" ht="12.75">
      <c r="A9" s="103" t="s">
        <v>244</v>
      </c>
      <c r="B9" s="105"/>
      <c r="C9" s="135"/>
      <c r="D9" s="135"/>
      <c r="E9" s="182">
        <f>'IB'!B6</f>
        <v>2.2164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</row>
    <row r="10" spans="1:43" ht="7.5" customHeight="1">
      <c r="A10" s="103"/>
      <c r="B10" s="105"/>
      <c r="C10" s="183"/>
      <c r="D10" s="135"/>
      <c r="E10" s="135"/>
      <c r="F10" s="105"/>
      <c r="G10" s="105"/>
      <c r="H10" s="105"/>
      <c r="I10" s="181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</row>
    <row r="11" spans="1:43" ht="12.75">
      <c r="A11" s="103" t="s">
        <v>245</v>
      </c>
      <c r="B11" s="105"/>
      <c r="C11" s="135"/>
      <c r="D11" s="135"/>
      <c r="E11" s="181" t="s">
        <v>246</v>
      </c>
      <c r="F11" s="181" t="s">
        <v>247</v>
      </c>
      <c r="G11" s="181" t="s">
        <v>248</v>
      </c>
      <c r="H11" s="181" t="s">
        <v>249</v>
      </c>
      <c r="I11" s="181" t="s">
        <v>250</v>
      </c>
      <c r="J11" s="181" t="s">
        <v>251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</row>
    <row r="12" spans="1:43" ht="12.75">
      <c r="A12" s="103"/>
      <c r="B12" s="103" t="s">
        <v>224</v>
      </c>
      <c r="C12" s="135"/>
      <c r="D12" s="135"/>
      <c r="E12" s="184">
        <f>'IB'!B7</f>
        <v>1420</v>
      </c>
      <c r="F12" s="185">
        <f>'IB'!B10</f>
        <v>360</v>
      </c>
      <c r="G12" s="185">
        <f>'IB'!B13</f>
        <v>0</v>
      </c>
      <c r="H12" s="186">
        <f>'IB'!B16</f>
        <v>0</v>
      </c>
      <c r="I12" s="187">
        <f>'CP'!B16</f>
        <v>90000</v>
      </c>
      <c r="J12" s="188">
        <f>'CP'!B13</f>
        <v>2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</row>
    <row r="13" spans="1:43" ht="12.75">
      <c r="A13" s="103"/>
      <c r="B13" s="103" t="s">
        <v>225</v>
      </c>
      <c r="C13" s="135"/>
      <c r="D13" s="135"/>
      <c r="E13" s="189">
        <f>'IB'!B8</f>
        <v>1420</v>
      </c>
      <c r="F13" s="190">
        <f>'IB'!B11</f>
        <v>360</v>
      </c>
      <c r="G13" s="190">
        <f>'IB'!B14</f>
        <v>0</v>
      </c>
      <c r="H13" s="191">
        <f>'IB'!B17</f>
        <v>0</v>
      </c>
      <c r="I13" s="192">
        <f>'CP'!B17</f>
        <v>90000</v>
      </c>
      <c r="J13" s="193">
        <f>'CP'!B14</f>
        <v>2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</row>
    <row r="14" spans="1:43" ht="12.75">
      <c r="A14" s="103"/>
      <c r="B14" s="103" t="s">
        <v>226</v>
      </c>
      <c r="C14" s="135"/>
      <c r="D14" s="135"/>
      <c r="E14" s="194">
        <f>'IB'!B9</f>
        <v>1420</v>
      </c>
      <c r="F14" s="195">
        <f>'IB'!B12</f>
        <v>360</v>
      </c>
      <c r="G14" s="195">
        <f>'IB'!B15</f>
        <v>0</v>
      </c>
      <c r="H14" s="196">
        <f>'IB'!B18</f>
        <v>0</v>
      </c>
      <c r="I14" s="197">
        <f>'CP'!B18</f>
        <v>90000</v>
      </c>
      <c r="J14" s="198">
        <f>'CP'!B15</f>
        <v>2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</row>
    <row r="15" spans="1:43" ht="7.5" customHeight="1">
      <c r="A15" s="103"/>
      <c r="B15" s="105"/>
      <c r="C15" s="199"/>
      <c r="D15" s="199"/>
      <c r="E15" s="172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</row>
    <row r="16" spans="1:43" ht="12.75">
      <c r="A16" s="103" t="s">
        <v>252</v>
      </c>
      <c r="B16" s="105"/>
      <c r="C16" s="135"/>
      <c r="D16" s="135"/>
      <c r="E16" s="181" t="s">
        <v>96</v>
      </c>
      <c r="F16" s="181" t="s">
        <v>97</v>
      </c>
      <c r="G16" s="181"/>
      <c r="H16" s="135"/>
      <c r="I16" s="200"/>
      <c r="J16" s="201" t="s">
        <v>253</v>
      </c>
      <c r="K16" s="202" t="s">
        <v>254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</row>
    <row r="17" spans="1:43" ht="12.75">
      <c r="A17" s="103"/>
      <c r="B17" s="142" t="s">
        <v>224</v>
      </c>
      <c r="C17" s="135"/>
      <c r="D17" s="135"/>
      <c r="E17" s="184">
        <v>170405</v>
      </c>
      <c r="F17" s="203">
        <v>127600</v>
      </c>
      <c r="G17" s="204"/>
      <c r="H17" s="135"/>
      <c r="I17" s="205" t="s">
        <v>255</v>
      </c>
      <c r="J17" s="206">
        <v>70000</v>
      </c>
      <c r="K17" s="207">
        <v>92000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</row>
    <row r="18" spans="1:43" ht="12.75">
      <c r="A18" s="103"/>
      <c r="B18" s="142" t="s">
        <v>225</v>
      </c>
      <c r="C18" s="135"/>
      <c r="D18" s="135"/>
      <c r="E18" s="189">
        <v>178388</v>
      </c>
      <c r="F18" s="208">
        <v>132500</v>
      </c>
      <c r="G18" s="204"/>
      <c r="H18" s="135"/>
      <c r="I18" s="209" t="s">
        <v>256</v>
      </c>
      <c r="J18" s="210">
        <v>85000</v>
      </c>
      <c r="K18" s="211">
        <v>125000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</row>
    <row r="19" spans="1:43" ht="12.75">
      <c r="A19" s="103"/>
      <c r="B19" s="142" t="s">
        <v>226</v>
      </c>
      <c r="C19" s="135"/>
      <c r="D19" s="135"/>
      <c r="E19" s="194">
        <v>253257</v>
      </c>
      <c r="F19" s="212">
        <v>226000</v>
      </c>
      <c r="G19" s="204"/>
      <c r="H19" s="135"/>
      <c r="I19" s="205" t="s">
        <v>257</v>
      </c>
      <c r="J19" s="213">
        <v>2.5</v>
      </c>
      <c r="K19" s="214">
        <v>3.5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</row>
    <row r="20" spans="1:43" ht="12" customHeight="1">
      <c r="A20" s="103"/>
      <c r="B20" s="142"/>
      <c r="C20" s="135"/>
      <c r="D20" s="135"/>
      <c r="E20" s="135"/>
      <c r="F20" s="181"/>
      <c r="G20" s="105"/>
      <c r="H20" s="135"/>
      <c r="I20" s="215" t="s">
        <v>256</v>
      </c>
      <c r="J20" s="216">
        <v>2</v>
      </c>
      <c r="K20" s="217">
        <v>3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</row>
    <row r="21" spans="1:43" ht="12.75">
      <c r="A21" s="103" t="s">
        <v>258</v>
      </c>
      <c r="B21" s="105"/>
      <c r="C21" s="135"/>
      <c r="D21" s="135"/>
      <c r="E21" s="181" t="s">
        <v>243</v>
      </c>
      <c r="F21" s="105"/>
      <c r="G21" s="105"/>
      <c r="H21" s="135"/>
      <c r="I21" s="135"/>
      <c r="J21" s="135"/>
      <c r="K21" s="13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</row>
    <row r="22" spans="1:43" ht="12.75">
      <c r="A22" s="103"/>
      <c r="B22" s="105" t="s">
        <v>229</v>
      </c>
      <c r="C22" s="135"/>
      <c r="D22" s="135"/>
      <c r="E22" s="218">
        <v>2100</v>
      </c>
      <c r="F22" s="181"/>
      <c r="G22" s="105"/>
      <c r="H22" s="135"/>
      <c r="I22" s="135"/>
      <c r="J22" s="135"/>
      <c r="K22" s="13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1:43" ht="12.75">
      <c r="A23" s="103"/>
      <c r="B23" s="105" t="s">
        <v>230</v>
      </c>
      <c r="C23" s="135"/>
      <c r="D23" s="135"/>
      <c r="E23" s="219">
        <v>1192.79</v>
      </c>
      <c r="F23" s="181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1:43" ht="12.75">
      <c r="A24" s="103"/>
      <c r="B24" s="103" t="s">
        <v>259</v>
      </c>
      <c r="C24" s="135"/>
      <c r="D24" s="135"/>
      <c r="E24" s="220">
        <v>1787.33</v>
      </c>
      <c r="F24" s="181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1:43" ht="7.5" customHeight="1">
      <c r="A25" s="103"/>
      <c r="B25" s="105"/>
      <c r="C25" s="135"/>
      <c r="D25" s="135"/>
      <c r="E25" s="221"/>
      <c r="F25" s="18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1:43" ht="12.75">
      <c r="A26" s="103" t="s">
        <v>260</v>
      </c>
      <c r="B26" s="105"/>
      <c r="C26" s="135"/>
      <c r="D26" s="135"/>
      <c r="E26" s="222">
        <f>'IB'!H9</f>
        <v>36497.25</v>
      </c>
      <c r="F26" s="18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1:43" ht="7.5" customHeight="1">
      <c r="A27" s="103"/>
      <c r="B27" s="105"/>
      <c r="C27" s="135"/>
      <c r="D27" s="135"/>
      <c r="E27" s="222">
        <v>189000</v>
      </c>
      <c r="F27" s="181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1:43" ht="12.75">
      <c r="A28" s="103" t="s">
        <v>261</v>
      </c>
      <c r="B28" s="105"/>
      <c r="C28" s="135"/>
      <c r="D28" s="135"/>
      <c r="E28" s="199"/>
      <c r="F28" s="181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</row>
    <row r="29" spans="1:43" ht="7.5" customHeight="1">
      <c r="A29" s="103"/>
      <c r="B29" s="105"/>
      <c r="C29" s="199"/>
      <c r="D29" s="135"/>
      <c r="E29" s="181" t="s">
        <v>243</v>
      </c>
      <c r="F29" s="18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</row>
    <row r="30" spans="1:43" ht="12.75">
      <c r="A30" s="103" t="s">
        <v>262</v>
      </c>
      <c r="B30" s="105"/>
      <c r="C30" s="135"/>
      <c r="D30" s="135"/>
      <c r="E30" s="218">
        <v>24261.86</v>
      </c>
      <c r="F30" s="181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</row>
    <row r="31" spans="1:43" ht="12.75">
      <c r="A31" s="103"/>
      <c r="B31" s="103" t="s">
        <v>263</v>
      </c>
      <c r="C31" s="135"/>
      <c r="D31" s="135"/>
      <c r="E31" s="219">
        <v>396.49</v>
      </c>
      <c r="F31" s="181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</row>
    <row r="32" spans="1:43" ht="12.75">
      <c r="A32" s="103"/>
      <c r="B32" s="103" t="s">
        <v>264</v>
      </c>
      <c r="C32" s="135"/>
      <c r="D32" s="135"/>
      <c r="E32" s="220">
        <v>69622.36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1:43" ht="12.75">
      <c r="A33" s="103"/>
      <c r="B33" s="103" t="s">
        <v>265</v>
      </c>
      <c r="C33" s="135"/>
      <c r="D33" s="135"/>
      <c r="E33" s="223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1:43" ht="12.75">
      <c r="A34" s="103"/>
      <c r="B34" s="103"/>
      <c r="C34" s="135"/>
      <c r="D34" s="13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</row>
    <row r="35" spans="1:43" ht="12.75">
      <c r="A35" s="224" t="s">
        <v>266</v>
      </c>
      <c r="B35" s="181"/>
      <c r="C35" s="181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</row>
    <row r="36" spans="1:43" ht="12.75">
      <c r="A36" s="135"/>
      <c r="B36" s="181"/>
      <c r="C36" s="181"/>
      <c r="D36" s="105"/>
      <c r="E36" s="181" t="s">
        <v>267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1:43" ht="12.75">
      <c r="A37" s="103" t="s">
        <v>268</v>
      </c>
      <c r="B37" s="105"/>
      <c r="C37" s="135"/>
      <c r="D37" s="135"/>
      <c r="E37" s="225">
        <f>'DO'!M9</f>
        <v>509154</v>
      </c>
      <c r="F37" s="105"/>
      <c r="G37" s="181" t="s">
        <v>269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1:43" ht="12.75">
      <c r="A38" s="103"/>
      <c r="B38" s="103" t="s">
        <v>270</v>
      </c>
      <c r="C38" s="135"/>
      <c r="D38" s="135"/>
      <c r="E38" s="226">
        <f>'DO'!M11</f>
        <v>1906624</v>
      </c>
      <c r="F38" s="227" t="s">
        <v>271</v>
      </c>
      <c r="G38" s="228">
        <f>'DO'!M10</f>
        <v>50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</row>
    <row r="39" spans="1:43" ht="12.75">
      <c r="A39" s="103"/>
      <c r="B39" s="103" t="s">
        <v>272</v>
      </c>
      <c r="C39" s="135"/>
      <c r="D39" s="135"/>
      <c r="E39" s="229">
        <f>E37*(1-G38/100)+E38</f>
        <v>2161201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</row>
    <row r="40" spans="1:43" ht="12.75">
      <c r="A40" s="103"/>
      <c r="B40" s="103" t="s">
        <v>273</v>
      </c>
      <c r="C40" s="135"/>
      <c r="D40" s="135"/>
      <c r="E40" s="229"/>
      <c r="F40" s="105"/>
      <c r="G40" s="105"/>
      <c r="H40" s="105"/>
      <c r="I40" s="13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</row>
    <row r="41" spans="1:43" ht="7.5" customHeight="1">
      <c r="A41" s="103"/>
      <c r="B41" s="103"/>
      <c r="C41" s="135"/>
      <c r="D41" s="135"/>
      <c r="E41" s="229"/>
      <c r="F41" s="105"/>
      <c r="G41" s="105"/>
      <c r="H41" s="105"/>
      <c r="I41" s="13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</row>
    <row r="42" spans="1:43" ht="12.75">
      <c r="A42" s="103" t="s">
        <v>274</v>
      </c>
      <c r="B42" s="103"/>
      <c r="C42" s="135"/>
      <c r="D42" s="135"/>
      <c r="E42" s="105"/>
      <c r="F42" s="105"/>
      <c r="G42" s="105"/>
      <c r="H42" s="105"/>
      <c r="I42" s="103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</row>
    <row r="43" spans="1:43" ht="3" customHeight="1">
      <c r="A43" s="230"/>
      <c r="B43" s="181"/>
      <c r="C43" s="181"/>
      <c r="D43" s="105"/>
      <c r="E43" s="231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</row>
    <row r="44" spans="1:43" ht="12.75">
      <c r="A44" s="135"/>
      <c r="B44" s="135"/>
      <c r="C44" s="106" t="s">
        <v>275</v>
      </c>
      <c r="D44" s="232" t="s">
        <v>276</v>
      </c>
      <c r="E44" s="232" t="s">
        <v>97</v>
      </c>
      <c r="F44" s="232" t="s">
        <v>277</v>
      </c>
      <c r="G44" s="232"/>
      <c r="H44" s="232" t="s">
        <v>278</v>
      </c>
      <c r="I44" s="232"/>
      <c r="J44" s="233" t="s">
        <v>279</v>
      </c>
      <c r="K44" s="13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</row>
    <row r="45" spans="1:43" ht="12.75">
      <c r="A45" s="135"/>
      <c r="B45" s="135"/>
      <c r="C45" s="114" t="s">
        <v>95</v>
      </c>
      <c r="D45" s="234" t="s">
        <v>96</v>
      </c>
      <c r="E45" s="235">
        <f>'DO'!E8</f>
        <v>0</v>
      </c>
      <c r="F45" s="234" t="s">
        <v>96</v>
      </c>
      <c r="G45" s="236" t="s">
        <v>97</v>
      </c>
      <c r="H45" s="234" t="s">
        <v>96</v>
      </c>
      <c r="I45" s="236" t="s">
        <v>97</v>
      </c>
      <c r="J45" s="234" t="s">
        <v>280</v>
      </c>
      <c r="K45" s="13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</row>
    <row r="46" spans="1:43" ht="12.75">
      <c r="A46" s="135"/>
      <c r="B46" s="135"/>
      <c r="C46" s="181" t="s">
        <v>281</v>
      </c>
      <c r="D46" s="237">
        <f>'DO'!D8</f>
        <v>0</v>
      </c>
      <c r="E46" s="238">
        <f>'DO'!E9</f>
        <v>0</v>
      </c>
      <c r="F46" s="237">
        <f>'DO'!G8</f>
        <v>19</v>
      </c>
      <c r="G46" s="235">
        <f>'DO'!H8</f>
        <v>19</v>
      </c>
      <c r="H46" s="237">
        <f>'DO'!J8</f>
        <v>0</v>
      </c>
      <c r="I46" s="235">
        <f>'DO'!K8</f>
        <v>0</v>
      </c>
      <c r="J46" s="239">
        <f>IF(E45=0,D46,E45)+IF(G46=0,F46,G46)+IF(I46=0,H46,I46)</f>
        <v>19</v>
      </c>
      <c r="K46" s="13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</row>
    <row r="47" spans="1:43" ht="12.75">
      <c r="A47" s="135"/>
      <c r="B47" s="135"/>
      <c r="C47" s="240" t="s">
        <v>282</v>
      </c>
      <c r="D47" s="241">
        <f>'DO'!D9</f>
        <v>0</v>
      </c>
      <c r="E47" s="238">
        <f>'DO'!E10</f>
        <v>2</v>
      </c>
      <c r="F47" s="241">
        <f>'DO'!G9</f>
        <v>8</v>
      </c>
      <c r="G47" s="238">
        <f>'DO'!H9</f>
        <v>8</v>
      </c>
      <c r="H47" s="241">
        <f>'DO'!J9</f>
        <v>0</v>
      </c>
      <c r="I47" s="238">
        <f>'DO'!K9</f>
        <v>0</v>
      </c>
      <c r="J47" s="239">
        <f>IF(E46=0,D47,E46)+IF(G47=0,F47,G47)+IF(I47=0,H47,I47)</f>
        <v>8</v>
      </c>
      <c r="K47" s="13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</row>
    <row r="48" spans="1:43" ht="12.75">
      <c r="A48" s="135"/>
      <c r="B48" s="135"/>
      <c r="C48" s="240" t="s">
        <v>283</v>
      </c>
      <c r="D48" s="241">
        <f>'DO'!D10</f>
        <v>2</v>
      </c>
      <c r="E48" s="238">
        <f>'DO'!E11</f>
        <v>30</v>
      </c>
      <c r="F48" s="241">
        <f>'DO'!G10</f>
        <v>3</v>
      </c>
      <c r="G48" s="238">
        <f>'DO'!H10</f>
        <v>3</v>
      </c>
      <c r="H48" s="241">
        <f>'DO'!J10</f>
        <v>0</v>
      </c>
      <c r="I48" s="238">
        <f>'DO'!K10</f>
        <v>0</v>
      </c>
      <c r="J48" s="239">
        <f>IF(E47=0,D48,E47)+IF(G48=0,F48,G48)+IF(I48=0,H48,I48)</f>
        <v>5</v>
      </c>
      <c r="K48" s="13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</row>
    <row r="49" spans="1:43" ht="12.75">
      <c r="A49" s="135"/>
      <c r="B49" s="135"/>
      <c r="C49" s="240" t="s">
        <v>284</v>
      </c>
      <c r="D49" s="241">
        <f>'DO'!D11</f>
        <v>30</v>
      </c>
      <c r="E49" s="238">
        <f>'DO'!E12</f>
        <v>9</v>
      </c>
      <c r="F49" s="241">
        <f>'DO'!G11</f>
        <v>35</v>
      </c>
      <c r="G49" s="238">
        <f>'DO'!H11</f>
        <v>35</v>
      </c>
      <c r="H49" s="241">
        <f>'DO'!J11</f>
        <v>0</v>
      </c>
      <c r="I49" s="238">
        <f>'DO'!K11</f>
        <v>0</v>
      </c>
      <c r="J49" s="239">
        <f>IF(E48=0,D49,E48)+IF(G49=0,F49,G49)+IF(I49=0,H49,I49)</f>
        <v>65</v>
      </c>
      <c r="K49" s="13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</row>
    <row r="50" spans="1:43" ht="12.75">
      <c r="A50" s="135"/>
      <c r="B50" s="135"/>
      <c r="C50" s="240" t="s">
        <v>285</v>
      </c>
      <c r="D50" s="241">
        <f>'DO'!D12</f>
        <v>9</v>
      </c>
      <c r="E50" s="238">
        <f>'DO'!E13</f>
        <v>9</v>
      </c>
      <c r="F50" s="241">
        <f>'DO'!G12</f>
        <v>3</v>
      </c>
      <c r="G50" s="238">
        <f>'DO'!H12</f>
        <v>3</v>
      </c>
      <c r="H50" s="241">
        <f>'DO'!J12</f>
        <v>0</v>
      </c>
      <c r="I50" s="238">
        <f>'DO'!K12</f>
        <v>0</v>
      </c>
      <c r="J50" s="239">
        <f>IF(E49=0,D50,E49)+IF(G50=0,F50,G50)+IF(I50=0,H50,I50)</f>
        <v>12</v>
      </c>
      <c r="K50" s="13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</row>
    <row r="51" spans="1:43" ht="12.75">
      <c r="A51" s="135"/>
      <c r="B51" s="135"/>
      <c r="C51" s="240" t="s">
        <v>286</v>
      </c>
      <c r="D51" s="241">
        <f>'DO'!D13</f>
        <v>9</v>
      </c>
      <c r="E51" s="238">
        <f>'DO'!E14</f>
        <v>10</v>
      </c>
      <c r="F51" s="241">
        <f>'DO'!G13</f>
        <v>6</v>
      </c>
      <c r="G51" s="238">
        <f>'DO'!H13</f>
        <v>6</v>
      </c>
      <c r="H51" s="241">
        <f>'DO'!J13</f>
        <v>0</v>
      </c>
      <c r="I51" s="238">
        <f>'DO'!K13</f>
        <v>0</v>
      </c>
      <c r="J51" s="239">
        <f>IF(E50=0,D51,E50)+IF(G51=0,F51,G51)+IF(I51=0,H51,I51)</f>
        <v>15</v>
      </c>
      <c r="K51" s="13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</row>
    <row r="52" spans="1:43" ht="12.75">
      <c r="A52" s="135"/>
      <c r="B52" s="135"/>
      <c r="C52" s="240" t="s">
        <v>287</v>
      </c>
      <c r="D52" s="241">
        <f>'DO'!D14</f>
        <v>10</v>
      </c>
      <c r="E52" s="238">
        <f>'DO'!E15</f>
        <v>13</v>
      </c>
      <c r="F52" s="241">
        <f>'DO'!G14</f>
        <v>6</v>
      </c>
      <c r="G52" s="238">
        <f>'DO'!H14</f>
        <v>6</v>
      </c>
      <c r="H52" s="241">
        <f>'DO'!J14</f>
        <v>0</v>
      </c>
      <c r="I52" s="238">
        <f>'DO'!K14</f>
        <v>0</v>
      </c>
      <c r="J52" s="239">
        <f>IF(E51=0,D52,E51)+IF(G52=0,F52,G52)+IF(I52=0,H52,I52)</f>
        <v>16</v>
      </c>
      <c r="K52" s="13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</row>
    <row r="53" spans="1:43" ht="12.75">
      <c r="A53" s="135"/>
      <c r="B53" s="135"/>
      <c r="C53" s="240" t="s">
        <v>288</v>
      </c>
      <c r="D53" s="241">
        <f>'DO'!D15</f>
        <v>13</v>
      </c>
      <c r="E53" s="238">
        <f>'DO'!E16</f>
        <v>7</v>
      </c>
      <c r="F53" s="241">
        <f>'DO'!G15</f>
        <v>7</v>
      </c>
      <c r="G53" s="238">
        <f>'DO'!H15</f>
        <v>7</v>
      </c>
      <c r="H53" s="241">
        <f>'DO'!J15</f>
        <v>0</v>
      </c>
      <c r="I53" s="238">
        <f>'DO'!K15</f>
        <v>0</v>
      </c>
      <c r="J53" s="239">
        <f>IF(E52=0,D53,E52)+IF(G53=0,F53,G53)+IF(I53=0,H53,I53)</f>
        <v>20</v>
      </c>
      <c r="K53" s="13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3" ht="12.75">
      <c r="A54" s="135"/>
      <c r="B54" s="135"/>
      <c r="C54" s="240" t="s">
        <v>289</v>
      </c>
      <c r="D54" s="241">
        <f>'DO'!D16</f>
        <v>7</v>
      </c>
      <c r="E54" s="238">
        <f>'DO'!E17</f>
        <v>2</v>
      </c>
      <c r="F54" s="241">
        <f>'DO'!G16</f>
        <v>7</v>
      </c>
      <c r="G54" s="238">
        <f>'DO'!H16</f>
        <v>7</v>
      </c>
      <c r="H54" s="241">
        <f>'DO'!J16</f>
        <v>0</v>
      </c>
      <c r="I54" s="238">
        <f>'DO'!K16</f>
        <v>0</v>
      </c>
      <c r="J54" s="239">
        <f>IF(E53=0,D54,E53)+IF(G54=0,F54,G54)+IF(I54=0,H54,I54)</f>
        <v>14</v>
      </c>
      <c r="K54" s="13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</row>
    <row r="55" spans="1:43" ht="12.75">
      <c r="A55" s="135"/>
      <c r="B55" s="135"/>
      <c r="C55" s="240" t="s">
        <v>290</v>
      </c>
      <c r="D55" s="241">
        <f>'DO'!D17</f>
        <v>2</v>
      </c>
      <c r="E55" s="238">
        <f>'DO'!E18</f>
        <v>0</v>
      </c>
      <c r="F55" s="241">
        <f>'DO'!G17</f>
        <v>6</v>
      </c>
      <c r="G55" s="238">
        <f>'DO'!H17</f>
        <v>6</v>
      </c>
      <c r="H55" s="241">
        <f>'DO'!J17</f>
        <v>0</v>
      </c>
      <c r="I55" s="238">
        <f>'DO'!K17</f>
        <v>0</v>
      </c>
      <c r="J55" s="239">
        <f>IF(E54=0,D55,E54)+IF(G55=0,F55,G55)+IF(I55=0,H55,I55)</f>
        <v>8</v>
      </c>
      <c r="K55" s="13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</row>
    <row r="56" spans="1:43" ht="12.75">
      <c r="A56" s="135"/>
      <c r="B56" s="135"/>
      <c r="C56" s="240" t="s">
        <v>185</v>
      </c>
      <c r="D56" s="241">
        <f>'DO'!D18</f>
        <v>0</v>
      </c>
      <c r="E56" s="238">
        <f>'DO'!E19</f>
        <v>1</v>
      </c>
      <c r="F56" s="241">
        <f>'DO'!G18</f>
        <v>8</v>
      </c>
      <c r="G56" s="238">
        <f>'DO'!H18</f>
        <v>8</v>
      </c>
      <c r="H56" s="241">
        <f>'DO'!J18</f>
        <v>0</v>
      </c>
      <c r="I56" s="238">
        <f>'DO'!K18</f>
        <v>0</v>
      </c>
      <c r="J56" s="239">
        <f>IF(E55=0,D56,E55)+IF(G56=0,F56,G56)+IF(I56=0,H56,I56)</f>
        <v>8</v>
      </c>
      <c r="K56" s="13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</row>
    <row r="57" spans="1:43" ht="12.75">
      <c r="A57" s="135"/>
      <c r="B57" s="135"/>
      <c r="C57" s="240" t="s">
        <v>186</v>
      </c>
      <c r="D57" s="241">
        <f>'DO'!D19</f>
        <v>1</v>
      </c>
      <c r="E57" s="242">
        <f>'DO'!E20</f>
        <v>3</v>
      </c>
      <c r="F57" s="241">
        <f>'DO'!G19</f>
        <v>13</v>
      </c>
      <c r="G57" s="238">
        <f>'DO'!H19</f>
        <v>13</v>
      </c>
      <c r="H57" s="241">
        <f>'DO'!J19</f>
        <v>1</v>
      </c>
      <c r="I57" s="238">
        <f>'DO'!K19</f>
        <v>1</v>
      </c>
      <c r="J57" s="239">
        <f>IF(E56=0,D57,E56)+IF(G57=0,F57,G57)+IF(I57=0,H57,I57)</f>
        <v>15</v>
      </c>
      <c r="K57" s="13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</row>
    <row r="58" spans="1:43" ht="12.75">
      <c r="A58" s="135"/>
      <c r="B58" s="135"/>
      <c r="C58" s="114" t="s">
        <v>291</v>
      </c>
      <c r="D58" s="243">
        <f>'DO'!D20</f>
        <v>3</v>
      </c>
      <c r="E58" s="244">
        <f>SUM(E45:E57)</f>
        <v>86</v>
      </c>
      <c r="F58" s="243">
        <f>'DO'!G20</f>
        <v>22</v>
      </c>
      <c r="G58" s="242">
        <f>'DO'!H20</f>
        <v>22</v>
      </c>
      <c r="H58" s="243">
        <f>'DO'!J20</f>
        <v>1</v>
      </c>
      <c r="I58" s="242">
        <f>'DO'!K20</f>
        <v>1</v>
      </c>
      <c r="J58" s="239">
        <f>IF(E57=0,D58,E57)+IF(G58=0,F58,G58)+IF(I58=0,H58,I58)</f>
        <v>26</v>
      </c>
      <c r="K58" s="135"/>
      <c r="L58" s="103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</row>
    <row r="59" spans="1:43" ht="12.75">
      <c r="A59" s="135"/>
      <c r="B59" s="135"/>
      <c r="C59" s="120" t="s">
        <v>122</v>
      </c>
      <c r="D59" s="245">
        <f>SUM(D46:D58)</f>
        <v>86</v>
      </c>
      <c r="E59" s="246"/>
      <c r="F59" s="245">
        <f>SUM(F46:F58)</f>
        <v>143</v>
      </c>
      <c r="G59" s="244">
        <f>SUM(G46:G58)</f>
        <v>143</v>
      </c>
      <c r="H59" s="245">
        <f>SUM(H46:H58)</f>
        <v>2</v>
      </c>
      <c r="I59" s="244">
        <f>SUM(I46:I58)</f>
        <v>2</v>
      </c>
      <c r="J59" s="247">
        <f>MAX(D59,E58)+MAX(F59,G59)+MAX(H59,I59)</f>
        <v>231</v>
      </c>
      <c r="K59" s="135"/>
      <c r="L59" s="248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</row>
    <row r="60" spans="1:43" ht="4.5" customHeight="1">
      <c r="A60" s="135"/>
      <c r="B60" s="135"/>
      <c r="C60" s="249"/>
      <c r="D60" s="246"/>
      <c r="E60" s="1"/>
      <c r="F60" s="246"/>
      <c r="G60" s="246"/>
      <c r="H60" s="246"/>
      <c r="I60" s="246"/>
      <c r="J60" s="250"/>
      <c r="K60" s="135"/>
      <c r="L60" s="248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</row>
    <row r="61" spans="1:43" ht="12.75">
      <c r="A61" s="135"/>
      <c r="B61" s="135"/>
      <c r="C61" s="1"/>
      <c r="D61" s="1"/>
      <c r="E61" s="1"/>
      <c r="F61" s="1"/>
      <c r="G61" s="1"/>
      <c r="H61" s="1"/>
      <c r="I61" s="251" t="s">
        <v>292</v>
      </c>
      <c r="J61" s="252">
        <f>'DO'!M8</f>
        <v>21</v>
      </c>
      <c r="K61" s="13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</row>
    <row r="62" spans="1:43" ht="12.75">
      <c r="A62" s="135"/>
      <c r="B62" s="135"/>
      <c r="C62" s="1"/>
      <c r="D62" s="1"/>
      <c r="E62" s="135"/>
      <c r="F62" s="1"/>
      <c r="G62" s="1"/>
      <c r="H62" s="1"/>
      <c r="I62" s="120" t="s">
        <v>293</v>
      </c>
      <c r="J62" s="245">
        <f>J59-J61</f>
        <v>210</v>
      </c>
      <c r="K62" s="13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</row>
    <row r="63" spans="1:43" ht="7.5" customHeight="1">
      <c r="A63" s="253"/>
      <c r="B63" s="254"/>
      <c r="C63" s="135"/>
      <c r="D63" s="255"/>
      <c r="E63" s="181" t="s">
        <v>294</v>
      </c>
      <c r="F63" s="135"/>
      <c r="G63" s="135"/>
      <c r="H63" s="105"/>
      <c r="I63" s="105"/>
      <c r="J63" s="105"/>
      <c r="K63" s="13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</row>
    <row r="64" spans="1:43" ht="12.75">
      <c r="A64" s="103" t="s">
        <v>295</v>
      </c>
      <c r="B64" s="135"/>
      <c r="C64" s="135"/>
      <c r="D64" s="135"/>
      <c r="E64" s="256">
        <f>'DO'!M12</f>
        <v>1090050</v>
      </c>
      <c r="F64" s="257"/>
      <c r="G64" s="135"/>
      <c r="H64" s="258" t="s">
        <v>296</v>
      </c>
      <c r="I64" s="202" t="s">
        <v>96</v>
      </c>
      <c r="J64" s="201" t="s">
        <v>97</v>
      </c>
      <c r="K64" s="13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</row>
    <row r="65" spans="1:43" ht="12.75">
      <c r="A65" s="224"/>
      <c r="B65" s="142" t="s">
        <v>297</v>
      </c>
      <c r="C65" s="135"/>
      <c r="D65" s="135"/>
      <c r="E65" s="259">
        <f>'DO'!M13</f>
        <v>0</v>
      </c>
      <c r="F65" s="105"/>
      <c r="G65" s="135"/>
      <c r="H65" s="142" t="s">
        <v>224</v>
      </c>
      <c r="I65" s="214">
        <f>IF(D59=0,0,(D46*1+D47*3+D48*5+D49*7+D50*9+D51*11+D52*13+D53*15+D54*17+D55*19+D56*21+D57*23+D58*25)/2/D59)</f>
        <v>5.6976744186046515</v>
      </c>
      <c r="J65" s="260">
        <f>IF(E58=0,0,(E45*1+E46*3+E47*5+E48*7+E49*9+E50*11+E51*13+E52*15+E53*17+E54*19+E55*21+E56*23+E57*25)/2/E58)</f>
        <v>5.6976744186046515</v>
      </c>
      <c r="K65" s="13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</row>
    <row r="66" spans="1:43" ht="12.75">
      <c r="A66" s="224"/>
      <c r="B66" s="142" t="s">
        <v>298</v>
      </c>
      <c r="C66" s="135"/>
      <c r="D66" s="135"/>
      <c r="E66" s="261">
        <f>SUM(E64:E65)</f>
        <v>1090050</v>
      </c>
      <c r="F66" s="135"/>
      <c r="G66" s="135"/>
      <c r="H66" s="105" t="s">
        <v>225</v>
      </c>
      <c r="I66" s="214">
        <f>IF(F59=0,0,(F46*1+F47*3+F48*5+F49*7+F50*9+F51*11+F52*13+F53*15+F54*17+F55*19+F56*21+F57*23+F58*25)/2/F59)</f>
        <v>6.395104895104895</v>
      </c>
      <c r="J66" s="260">
        <f>IF(G59=0,0,(G46*1+G47*3+G48*5+G49*7+G50*9+G51*11+G52*13+G53*15+G54*17+G55*19+G56*21+G57*23+G58*25)/2/G59)</f>
        <v>6.395104895104895</v>
      </c>
      <c r="K66" s="13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</row>
    <row r="67" spans="1:43" ht="12.75">
      <c r="A67" s="224"/>
      <c r="B67" s="142" t="s">
        <v>280</v>
      </c>
      <c r="C67" s="135"/>
      <c r="D67" s="135"/>
      <c r="E67" s="262"/>
      <c r="F67" s="105"/>
      <c r="G67" s="135"/>
      <c r="H67" s="105" t="s">
        <v>226</v>
      </c>
      <c r="I67" s="214">
        <f>IF(H59=0,0,(H46*1+H47*3+H48*5+H49*7+H50*9+H51*11+H52*13+H53*15+H54*17+H55*19+H56*21+H57*23+H58*25)/2/H59)</f>
        <v>12</v>
      </c>
      <c r="J67" s="260">
        <f>IF(I59=0,0,(I46*1+I47*3+I48*5+I49*7+I50*9+I51*11+I52*13+I53*15+I54*17+I55*19+I56*21+I57*23+I58*25)/2/I59)</f>
        <v>12</v>
      </c>
      <c r="K67" s="13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</row>
    <row r="68" spans="1:43" ht="12.75" customHeight="1">
      <c r="A68" s="224"/>
      <c r="B68" s="142"/>
      <c r="C68" s="181"/>
      <c r="D68" s="135"/>
      <c r="E68" s="262"/>
      <c r="F68" s="105"/>
      <c r="G68" s="135"/>
      <c r="H68" s="263" t="s">
        <v>280</v>
      </c>
      <c r="I68" s="217">
        <f>(D59*I65+F59*I66+H59*I67)/J59</f>
        <v>6.183982683982684</v>
      </c>
      <c r="J68" s="216">
        <f>(MAX(D59,E58)*J65+MAX(F59,G59)*J66+MAX(H59,I59)*J67)/J59</f>
        <v>6.183982683982684</v>
      </c>
      <c r="K68" s="13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</row>
    <row r="69" spans="1:43" ht="12" customHeight="1">
      <c r="A69" s="103" t="s">
        <v>299</v>
      </c>
      <c r="B69" s="142"/>
      <c r="C69" s="181"/>
      <c r="D69" s="135"/>
      <c r="E69" s="264">
        <f>E66/J62</f>
        <v>5190.714285714285</v>
      </c>
      <c r="F69" s="105"/>
      <c r="G69" s="135"/>
      <c r="H69" s="135"/>
      <c r="I69" s="135"/>
      <c r="J69" s="135"/>
      <c r="K69" s="13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</row>
    <row r="70" spans="1:43" ht="12.75">
      <c r="A70" s="135"/>
      <c r="B70" s="142" t="s">
        <v>300</v>
      </c>
      <c r="C70" s="135"/>
      <c r="D70" s="135"/>
      <c r="E70" s="264"/>
      <c r="F70" s="105"/>
      <c r="G70" s="265"/>
      <c r="H70" s="135"/>
      <c r="I70" s="135"/>
      <c r="J70" s="135"/>
      <c r="K70" s="13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</row>
    <row r="71" spans="1:43" ht="7.5" customHeight="1">
      <c r="A71" s="135"/>
      <c r="B71" s="135"/>
      <c r="C71" s="135"/>
      <c r="D71" s="227"/>
      <c r="E71" s="181"/>
      <c r="F71" s="105"/>
      <c r="G71" s="265"/>
      <c r="H71" s="135"/>
      <c r="I71" s="135"/>
      <c r="J71" s="135"/>
      <c r="K71" s="13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</row>
    <row r="72" spans="1:43" ht="12" customHeight="1">
      <c r="A72" s="103" t="s">
        <v>301</v>
      </c>
      <c r="B72" s="135"/>
      <c r="C72" s="135"/>
      <c r="D72" s="135"/>
      <c r="E72" s="142">
        <f>E39/E66</f>
        <v>1.982662263198936</v>
      </c>
      <c r="F72" s="105"/>
      <c r="G72" s="105"/>
      <c r="H72" s="13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</row>
    <row r="73" spans="1:43" ht="12.75">
      <c r="A73" s="135"/>
      <c r="B73" s="142" t="s">
        <v>302</v>
      </c>
      <c r="C73" s="135"/>
      <c r="D73" s="135"/>
      <c r="E73" s="135"/>
      <c r="F73" s="105"/>
      <c r="G73" s="172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</row>
    <row r="74" spans="1:43" ht="12.75" customHeight="1">
      <c r="A74" s="266"/>
      <c r="B74" s="135"/>
      <c r="C74" s="181"/>
      <c r="D74" s="135"/>
      <c r="E74" s="13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</row>
    <row r="75" spans="1:43" ht="12.75" customHeight="1">
      <c r="A75" s="266"/>
      <c r="B75" s="135"/>
      <c r="C75" s="181"/>
      <c r="D75" s="135"/>
      <c r="E75" s="13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</row>
    <row r="76" spans="1:43" ht="12.75" customHeight="1">
      <c r="A76" s="266"/>
      <c r="B76" s="135"/>
      <c r="C76" s="181"/>
      <c r="D76" s="135"/>
      <c r="E76" s="13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</row>
    <row r="77" spans="1:43" ht="12.75" customHeight="1">
      <c r="A77" s="266"/>
      <c r="B77" s="135"/>
      <c r="C77" s="181"/>
      <c r="D77" s="135"/>
      <c r="E77" s="13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</row>
    <row r="78" spans="1:43" ht="12.75" customHeight="1">
      <c r="A78" s="266"/>
      <c r="B78" s="135"/>
      <c r="C78" s="181"/>
      <c r="D78" s="135"/>
      <c r="E78" s="13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</row>
    <row r="79" spans="1:43" ht="12.75" customHeight="1">
      <c r="A79" s="266"/>
      <c r="B79" s="135"/>
      <c r="C79" s="181"/>
      <c r="D79" s="135"/>
      <c r="E79" s="13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</row>
    <row r="80" spans="1:43" ht="12.75" customHeight="1">
      <c r="A80" s="266"/>
      <c r="B80" s="135"/>
      <c r="C80" s="181"/>
      <c r="D80" s="135"/>
      <c r="E80" s="13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</row>
    <row r="81" spans="1:43" ht="12.75" customHeight="1">
      <c r="A81" s="266"/>
      <c r="B81" s="135"/>
      <c r="C81" s="181"/>
      <c r="D81" s="135"/>
      <c r="E81" s="13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</row>
    <row r="82" spans="1:43" ht="12.75" customHeight="1">
      <c r="A82" s="266"/>
      <c r="B82" s="135"/>
      <c r="C82" s="181"/>
      <c r="D82" s="13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</row>
    <row r="83" spans="1:43" ht="12.75">
      <c r="A83" s="224" t="s">
        <v>303</v>
      </c>
      <c r="B83" s="103"/>
      <c r="C83" s="103"/>
      <c r="D83" s="105"/>
      <c r="E83" s="135"/>
      <c r="F83" s="105"/>
      <c r="G83" s="105"/>
      <c r="H83" s="105"/>
      <c r="I83" s="135"/>
      <c r="J83" s="135"/>
      <c r="K83" s="13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</row>
    <row r="84" spans="1:43" ht="12.75" customHeight="1">
      <c r="A84" s="267"/>
      <c r="B84" s="103"/>
      <c r="C84" s="103"/>
      <c r="D84" s="105"/>
      <c r="E84" s="181" t="s">
        <v>304</v>
      </c>
      <c r="F84" s="135"/>
      <c r="G84" s="135"/>
      <c r="H84" s="135"/>
      <c r="I84" s="135"/>
      <c r="J84" s="106" t="s">
        <v>305</v>
      </c>
      <c r="K84" s="106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</row>
    <row r="85" spans="1:43" ht="12.75">
      <c r="A85" s="103" t="s">
        <v>306</v>
      </c>
      <c r="B85" s="105"/>
      <c r="C85" s="135"/>
      <c r="D85" s="135"/>
      <c r="E85" s="268">
        <f>'CP'!B6</f>
        <v>0.3652</v>
      </c>
      <c r="F85" s="135"/>
      <c r="G85" s="227" t="s">
        <v>191</v>
      </c>
      <c r="H85" s="135"/>
      <c r="I85" s="135"/>
      <c r="J85" s="201" t="s">
        <v>253</v>
      </c>
      <c r="K85" s="202" t="s">
        <v>254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</row>
    <row r="86" spans="1:43" ht="12.75">
      <c r="A86" s="103"/>
      <c r="B86" s="105" t="s">
        <v>224</v>
      </c>
      <c r="C86" s="135"/>
      <c r="D86" s="135"/>
      <c r="E86" s="269">
        <f>'CP'!B7</f>
        <v>0.47550000000000003</v>
      </c>
      <c r="F86" s="135"/>
      <c r="G86" s="270">
        <f>E$9*E85</f>
        <v>0.8094292800000001</v>
      </c>
      <c r="H86" s="271"/>
      <c r="I86" s="135"/>
      <c r="J86" s="181">
        <v>0.35</v>
      </c>
      <c r="K86" s="239">
        <v>0.39</v>
      </c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</row>
    <row r="87" spans="1:43" ht="12.75">
      <c r="A87" s="103"/>
      <c r="B87" s="105" t="s">
        <v>225</v>
      </c>
      <c r="C87" s="135"/>
      <c r="D87" s="135"/>
      <c r="E87" s="272">
        <f>'CP'!B8</f>
        <v>0.59</v>
      </c>
      <c r="F87" s="135"/>
      <c r="G87" s="270">
        <f>E$9*E86</f>
        <v>1.0538982000000001</v>
      </c>
      <c r="H87" s="271"/>
      <c r="I87" s="135"/>
      <c r="J87" s="181">
        <v>0.45</v>
      </c>
      <c r="K87" s="239" t="s">
        <v>307</v>
      </c>
      <c r="L87" s="105"/>
      <c r="M87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</row>
    <row r="88" spans="1:43" ht="12.75">
      <c r="A88" s="103"/>
      <c r="B88" s="105" t="s">
        <v>226</v>
      </c>
      <c r="C88" s="135"/>
      <c r="D88" s="135"/>
      <c r="E88" s="135"/>
      <c r="F88" s="135"/>
      <c r="G88" s="270">
        <f>E$9*E87</f>
        <v>1.307676</v>
      </c>
      <c r="H88" s="271"/>
      <c r="I88" s="135"/>
      <c r="J88" s="114">
        <v>0.53</v>
      </c>
      <c r="K88" s="234">
        <v>0.65</v>
      </c>
      <c r="L88" s="105"/>
      <c r="M88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</row>
    <row r="89" spans="1:43" ht="7.5" customHeight="1">
      <c r="A89" s="103"/>
      <c r="B89" s="105"/>
      <c r="C89" s="135"/>
      <c r="D89" s="221"/>
      <c r="E89" s="181" t="s">
        <v>304</v>
      </c>
      <c r="F89" s="135"/>
      <c r="G89" s="270"/>
      <c r="H89" s="271"/>
      <c r="I89" s="135"/>
      <c r="J89" s="109"/>
      <c r="K89" s="109"/>
      <c r="L89" s="105"/>
      <c r="M89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</row>
    <row r="90" spans="1:43" ht="12.75" customHeight="1">
      <c r="A90" s="103" t="s">
        <v>308</v>
      </c>
      <c r="B90" s="105"/>
      <c r="C90" s="135"/>
      <c r="D90" s="221"/>
      <c r="E90" s="273">
        <f>'CP'!B9</f>
        <v>0.006</v>
      </c>
      <c r="F90" s="135"/>
      <c r="G90" s="274" t="s">
        <v>191</v>
      </c>
      <c r="H90" s="271"/>
      <c r="I90" s="135"/>
      <c r="J90" s="106" t="s">
        <v>309</v>
      </c>
      <c r="K90" s="106"/>
      <c r="L90" s="105"/>
      <c r="M90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</row>
    <row r="91" spans="1:43" ht="12.75">
      <c r="A91" s="135"/>
      <c r="B91" s="105"/>
      <c r="C91" s="135"/>
      <c r="D91" s="135"/>
      <c r="E91" s="275"/>
      <c r="F91" s="135"/>
      <c r="G91" s="270">
        <f>E$9*E90</f>
        <v>0.013298400000000002</v>
      </c>
      <c r="H91" s="271"/>
      <c r="I91" s="135"/>
      <c r="J91" s="201">
        <v>0.04</v>
      </c>
      <c r="K91" s="202">
        <v>0.06</v>
      </c>
      <c r="L91" s="105"/>
      <c r="M91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</row>
    <row r="92" spans="1:43" ht="7.5" customHeight="1">
      <c r="A92" s="103"/>
      <c r="B92" s="105"/>
      <c r="C92" s="181"/>
      <c r="D92" s="135"/>
      <c r="E92" s="227" t="s">
        <v>310</v>
      </c>
      <c r="F92" s="135"/>
      <c r="G92" s="276"/>
      <c r="H92" s="276"/>
      <c r="I92" s="135"/>
      <c r="J92" s="105"/>
      <c r="K92" s="105"/>
      <c r="L92" s="105"/>
      <c r="M92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</row>
    <row r="93" spans="1:43" ht="12.75">
      <c r="A93" s="103" t="s">
        <v>311</v>
      </c>
      <c r="B93" s="135"/>
      <c r="C93" s="227" t="s">
        <v>246</v>
      </c>
      <c r="D93" s="227" t="s">
        <v>247</v>
      </c>
      <c r="E93" s="261">
        <f>G12*2*6</f>
        <v>0</v>
      </c>
      <c r="F93" s="227" t="s">
        <v>249</v>
      </c>
      <c r="G93" s="274" t="s">
        <v>191</v>
      </c>
      <c r="H93" s="271"/>
      <c r="I93" s="105"/>
      <c r="J93" s="105"/>
      <c r="K93" s="105"/>
      <c r="L93" s="105"/>
      <c r="M93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</row>
    <row r="94" spans="1:43" ht="12.75">
      <c r="A94" s="103"/>
      <c r="B94" s="142" t="s">
        <v>224</v>
      </c>
      <c r="C94" s="261">
        <f>E12*6</f>
        <v>8520</v>
      </c>
      <c r="D94" s="261">
        <f>F12*J12*6</f>
        <v>4320</v>
      </c>
      <c r="E94" s="261">
        <f>G13*2*6</f>
        <v>0</v>
      </c>
      <c r="F94" s="261">
        <f>H12*2*6</f>
        <v>0</v>
      </c>
      <c r="G94" s="274">
        <f>IF(SUM(C94:F94)=0,0,SUM(C94:F94)/I12)</f>
        <v>0.14266666666666666</v>
      </c>
      <c r="H94" s="271"/>
      <c r="I94" s="105"/>
      <c r="J94" s="105"/>
      <c r="K94" s="105"/>
      <c r="L94" s="105"/>
      <c r="M94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</row>
    <row r="95" spans="1:43" ht="12.75">
      <c r="A95" s="103"/>
      <c r="B95" s="142" t="s">
        <v>225</v>
      </c>
      <c r="C95" s="261">
        <f>E13*6</f>
        <v>8520</v>
      </c>
      <c r="D95" s="261">
        <f>F13*J13*6</f>
        <v>4320</v>
      </c>
      <c r="E95" s="261">
        <f>G14*2*10</f>
        <v>0</v>
      </c>
      <c r="F95" s="261">
        <f>H13*2*6</f>
        <v>0</v>
      </c>
      <c r="G95" s="274">
        <f>IF(SUM(C95:F95)=0,0,SUM(C95:F95)/I13)</f>
        <v>0.14266666666666666</v>
      </c>
      <c r="H95" s="271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</row>
    <row r="96" spans="1:43" ht="12.75">
      <c r="A96" s="103"/>
      <c r="B96" s="142" t="s">
        <v>226</v>
      </c>
      <c r="C96" s="261">
        <f>E14*10</f>
        <v>14200</v>
      </c>
      <c r="D96" s="261">
        <f>F14*J14*10</f>
        <v>7200</v>
      </c>
      <c r="E96" s="277"/>
      <c r="F96" s="261">
        <f>H14*2*10</f>
        <v>0</v>
      </c>
      <c r="G96" s="274">
        <f>IF(SUM(C96:F96)=0,0,SUM(C96:F96)/I14)</f>
        <v>0.23777777777777778</v>
      </c>
      <c r="H96" s="278"/>
      <c r="I96" s="135"/>
      <c r="J96" s="135"/>
      <c r="K96" s="135"/>
      <c r="L96" s="135"/>
      <c r="M96" s="13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</row>
    <row r="97" spans="1:43" ht="8.25" customHeight="1">
      <c r="A97" s="103"/>
      <c r="B97" s="142"/>
      <c r="C97" s="277"/>
      <c r="D97" s="277"/>
      <c r="E97" s="181" t="s">
        <v>312</v>
      </c>
      <c r="F97" s="277"/>
      <c r="G97" s="274"/>
      <c r="H97" s="271"/>
      <c r="I97" s="135"/>
      <c r="J97" s="135"/>
      <c r="K97" s="135"/>
      <c r="L97" s="135"/>
      <c r="M97" s="13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</row>
    <row r="98" spans="1:43" ht="12.75">
      <c r="A98" s="103" t="s">
        <v>313</v>
      </c>
      <c r="B98" s="135"/>
      <c r="C98" s="135"/>
      <c r="D98" s="135"/>
      <c r="E98" s="268">
        <f>'CP'!B10</f>
        <v>0.0053</v>
      </c>
      <c r="F98" s="135"/>
      <c r="G98" s="274" t="s">
        <v>191</v>
      </c>
      <c r="H98" s="276" t="s">
        <v>314</v>
      </c>
      <c r="I98" s="276"/>
      <c r="J98" s="106" t="s">
        <v>315</v>
      </c>
      <c r="K98" s="106"/>
      <c r="L98" s="135"/>
      <c r="M98" s="13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</row>
    <row r="99" spans="1:43" ht="12.75">
      <c r="A99" s="103"/>
      <c r="B99" s="103" t="s">
        <v>224</v>
      </c>
      <c r="C99" s="135"/>
      <c r="D99" s="135"/>
      <c r="E99" s="269">
        <f>'CP'!B11</f>
        <v>0.0053</v>
      </c>
      <c r="F99" s="135"/>
      <c r="G99" s="274">
        <f>E106*E98/E69</f>
        <v>0.30427922113664513</v>
      </c>
      <c r="H99" s="279">
        <f>IF(G86+G94+G99=0,0,G86+G91+G94+G99)</f>
        <v>1.269673567803312</v>
      </c>
      <c r="I99" s="135"/>
      <c r="J99" s="201" t="s">
        <v>253</v>
      </c>
      <c r="K99" s="202" t="s">
        <v>254</v>
      </c>
      <c r="L99" s="135"/>
      <c r="M99" s="13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</row>
    <row r="100" spans="1:43" ht="12.75">
      <c r="A100" s="103"/>
      <c r="B100" s="142" t="s">
        <v>225</v>
      </c>
      <c r="C100" s="135"/>
      <c r="D100" s="135"/>
      <c r="E100" s="272">
        <f>'CP'!B12</f>
        <v>0.0053</v>
      </c>
      <c r="F100" s="135"/>
      <c r="G100" s="274">
        <f>F107*E99/E69</f>
        <v>0.31743346085041974</v>
      </c>
      <c r="H100" s="279">
        <f>IF(G87+G95+G100=0,0,G87+G91+G95+G100)</f>
        <v>1.5272967275170866</v>
      </c>
      <c r="I100" s="135"/>
      <c r="J100" s="114">
        <v>0.0033</v>
      </c>
      <c r="K100" s="234">
        <v>0.0083</v>
      </c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</row>
    <row r="101" spans="1:43" ht="12.75">
      <c r="A101" s="103"/>
      <c r="B101" s="142" t="s">
        <v>226</v>
      </c>
      <c r="C101" s="135"/>
      <c r="D101" s="135"/>
      <c r="E101" s="280"/>
      <c r="F101" s="135"/>
      <c r="G101" s="274">
        <f>G107*E100/E69</f>
        <v>0.4893473152607679</v>
      </c>
      <c r="H101" s="279">
        <f>IF(G88+G96+G101=0,0,G88+G91+G96+G101)</f>
        <v>2.0480994930385457</v>
      </c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</row>
    <row r="102" spans="1:43" ht="12.75">
      <c r="A102" s="103"/>
      <c r="B102" s="142"/>
      <c r="C102" s="135"/>
      <c r="D102" s="135"/>
      <c r="E102" s="281"/>
      <c r="F102" s="135"/>
      <c r="G102" s="274"/>
      <c r="H102" s="279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</row>
    <row r="103" spans="1:43" ht="12.75">
      <c r="A103" s="224" t="s">
        <v>316</v>
      </c>
      <c r="B103" s="105"/>
      <c r="C103" s="282"/>
      <c r="D103" s="282"/>
      <c r="E103" s="282"/>
      <c r="F103" s="105"/>
      <c r="G103" s="13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</row>
    <row r="104" spans="1:43" ht="12.75">
      <c r="A104" s="103"/>
      <c r="B104" s="105"/>
      <c r="C104" s="282"/>
      <c r="D104" s="282"/>
      <c r="E104" s="282"/>
      <c r="F104" s="105"/>
      <c r="G104" s="13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</row>
    <row r="105" spans="1:43" ht="12.75">
      <c r="A105" s="103" t="s">
        <v>317</v>
      </c>
      <c r="B105" s="105"/>
      <c r="C105" s="282"/>
      <c r="D105" s="282"/>
      <c r="E105" s="283" t="s">
        <v>224</v>
      </c>
      <c r="F105" s="105"/>
      <c r="G105" s="13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</row>
    <row r="106" spans="1:43" ht="12.75">
      <c r="A106" s="135"/>
      <c r="B106" s="105"/>
      <c r="C106" s="135"/>
      <c r="D106" s="135"/>
      <c r="E106" s="262">
        <f>E17+F17</f>
        <v>298005</v>
      </c>
      <c r="F106" s="283" t="s">
        <v>225</v>
      </c>
      <c r="G106" s="283" t="s">
        <v>226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</row>
    <row r="107" spans="1:43" ht="12.75">
      <c r="A107" s="135"/>
      <c r="B107" s="103" t="s">
        <v>318</v>
      </c>
      <c r="C107" s="135"/>
      <c r="D107" s="135"/>
      <c r="E107" s="264">
        <f>E17+F17-(E12+G12+H12)*6</f>
        <v>289485</v>
      </c>
      <c r="F107" s="262">
        <f>E18+F18</f>
        <v>310888</v>
      </c>
      <c r="G107" s="262">
        <f>E19+F19</f>
        <v>479257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</row>
    <row r="108" spans="1:43" ht="12.75">
      <c r="A108" s="135"/>
      <c r="B108" s="103" t="s">
        <v>319</v>
      </c>
      <c r="C108" s="135"/>
      <c r="D108" s="135"/>
      <c r="E108" s="104"/>
      <c r="F108" s="264">
        <f>E18+F18-(E13+G13+H13)*6</f>
        <v>302368</v>
      </c>
      <c r="G108" s="264">
        <f>E19+F19-(E14+G14+H14)*10</f>
        <v>465057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</row>
    <row r="109" spans="1:43" ht="9" customHeight="1">
      <c r="A109" s="135"/>
      <c r="B109" s="103"/>
      <c r="C109" s="104"/>
      <c r="D109" s="104"/>
      <c r="E109" s="284">
        <f>'CP'!H6</f>
        <v>7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</row>
    <row r="110" spans="1:43" ht="12.75" customHeight="1">
      <c r="A110" s="135"/>
      <c r="B110" s="103" t="s">
        <v>320</v>
      </c>
      <c r="C110" s="135"/>
      <c r="D110" s="135"/>
      <c r="E110" s="285">
        <f>'CP'!H9</f>
        <v>20</v>
      </c>
      <c r="F110" s="286">
        <f>'CP'!H7</f>
        <v>10</v>
      </c>
      <c r="G110" s="287">
        <f>'CP'!H8</f>
        <v>12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</row>
    <row r="111" spans="1:43" ht="12.75" customHeight="1">
      <c r="A111" s="135"/>
      <c r="B111" s="103" t="s">
        <v>321</v>
      </c>
      <c r="C111" s="135"/>
      <c r="D111" s="135"/>
      <c r="E111" s="104"/>
      <c r="F111" s="288">
        <f>'CP'!H10</f>
        <v>15</v>
      </c>
      <c r="G111" s="289">
        <f>'CP'!H11</f>
        <v>10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</row>
    <row r="112" spans="1:43" ht="9" customHeight="1">
      <c r="A112" s="135"/>
      <c r="B112" s="103"/>
      <c r="C112" s="104"/>
      <c r="D112" s="104"/>
      <c r="E112" s="228">
        <f>'CP'!H12</f>
        <v>12</v>
      </c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</row>
    <row r="113" spans="1:43" ht="12.75" customHeight="1">
      <c r="A113" s="135"/>
      <c r="B113" s="103" t="s">
        <v>322</v>
      </c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</row>
    <row r="114" spans="1:43" ht="12.75" customHeight="1">
      <c r="A114" s="135"/>
      <c r="B114" s="103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</row>
    <row r="115" spans="1:43" ht="12.75" customHeight="1">
      <c r="A115" s="135"/>
      <c r="B115" s="109" t="s">
        <v>323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</row>
    <row r="116" spans="1:43" ht="7.5" customHeight="1">
      <c r="A116" s="135"/>
      <c r="B116" s="103"/>
      <c r="C116" s="104"/>
      <c r="D116" s="104"/>
      <c r="E116" s="290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</row>
    <row r="117" spans="1:43" ht="12.75" customHeight="1">
      <c r="A117" s="135"/>
      <c r="B117" s="106" t="s">
        <v>91</v>
      </c>
      <c r="C117" s="291" t="s">
        <v>166</v>
      </c>
      <c r="D117" s="291"/>
      <c r="E117" s="291"/>
      <c r="F117" s="232" t="s">
        <v>167</v>
      </c>
      <c r="G117" s="232"/>
      <c r="H117" s="232"/>
      <c r="I117" s="232" t="s">
        <v>168</v>
      </c>
      <c r="J117" s="232"/>
      <c r="K117" s="232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</row>
    <row r="118" spans="1:43" ht="12">
      <c r="A118" s="103"/>
      <c r="B118" s="109" t="s">
        <v>169</v>
      </c>
      <c r="C118" s="292" t="s">
        <v>170</v>
      </c>
      <c r="D118" s="293" t="s">
        <v>171</v>
      </c>
      <c r="E118" s="293" t="s">
        <v>324</v>
      </c>
      <c r="F118" s="294" t="s">
        <v>170</v>
      </c>
      <c r="G118" s="295" t="s">
        <v>171</v>
      </c>
      <c r="H118" s="295"/>
      <c r="I118" s="294" t="s">
        <v>170</v>
      </c>
      <c r="J118" s="295" t="s">
        <v>171</v>
      </c>
      <c r="K118" s="29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</row>
    <row r="119" spans="1:43" ht="12">
      <c r="A119" s="103"/>
      <c r="B119" s="114" t="s">
        <v>95</v>
      </c>
      <c r="C119" s="234" t="s">
        <v>172</v>
      </c>
      <c r="D119" s="236" t="s">
        <v>325</v>
      </c>
      <c r="E119" s="296">
        <f>(1-0)*E112/100</f>
        <v>0.12</v>
      </c>
      <c r="F119" s="234" t="s">
        <v>172</v>
      </c>
      <c r="G119" s="236" t="s">
        <v>326</v>
      </c>
      <c r="H119" s="236" t="s">
        <v>324</v>
      </c>
      <c r="I119" s="234" t="s">
        <v>172</v>
      </c>
      <c r="J119" s="236" t="s">
        <v>326</v>
      </c>
      <c r="K119" s="236" t="s">
        <v>324</v>
      </c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</row>
    <row r="120" spans="1:43" ht="12">
      <c r="A120" s="103"/>
      <c r="B120" s="103" t="s">
        <v>175</v>
      </c>
      <c r="C120" s="297">
        <f>(1-$E$110/100)*($E$109)/((1+$E$109)*$E$109/2)</f>
        <v>0.2</v>
      </c>
      <c r="D120" s="296">
        <f>C120</f>
        <v>0.2</v>
      </c>
      <c r="E120" s="296">
        <f>(1-D120)*$E$112/100</f>
        <v>0.09600000000000002</v>
      </c>
      <c r="F120" s="297">
        <f>(1-$F$111/100)*($F$110-0)/((1+$F$110)*$F$110/2)</f>
        <v>0.15454545454545454</v>
      </c>
      <c r="G120" s="296">
        <f>F120</f>
        <v>0.15454545454545454</v>
      </c>
      <c r="H120" s="296">
        <f>(1-0)*E112/100</f>
        <v>0.12</v>
      </c>
      <c r="I120" s="297">
        <f>(1-$G$111/100)*($G$110-0)/((1+$G$110)*$G$110/2)</f>
        <v>0.13846153846153847</v>
      </c>
      <c r="J120" s="296">
        <f>I120</f>
        <v>0.13846153846153847</v>
      </c>
      <c r="K120" s="296">
        <f>(1-0)*E112/100</f>
        <v>0.12</v>
      </c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</row>
    <row r="121" spans="1:43" ht="12">
      <c r="A121" s="103"/>
      <c r="B121" s="103" t="s">
        <v>176</v>
      </c>
      <c r="C121" s="297">
        <f>IF(C120=0,0,(1-$E$110/100)*($E$109-1)/((1+$E$109)*$E$109/2))</f>
        <v>0.17142857142857146</v>
      </c>
      <c r="D121" s="296">
        <f>C120+C121</f>
        <v>0.37142857142857144</v>
      </c>
      <c r="E121" s="296">
        <f>(1-D121)*$E$112/100</f>
        <v>0.07542857142857143</v>
      </c>
      <c r="F121" s="297">
        <f>IF(F120=0,0,(1-$F$111/100)*($F$110-1)/((1+$F$110)*$F$110/2))</f>
        <v>0.13909090909090907</v>
      </c>
      <c r="G121" s="296">
        <f>F120+F121</f>
        <v>0.2936363636363636</v>
      </c>
      <c r="H121" s="296">
        <f>(1-G120)*$E$112/100</f>
        <v>0.10145454545454545</v>
      </c>
      <c r="I121" s="297">
        <f>IF(I120=0,0,(1-$G$111/100)*($G$110-1)/((1+$G$110)*$G$110/2))</f>
        <v>0.12692307692307692</v>
      </c>
      <c r="J121" s="296">
        <f>I120+I121</f>
        <v>0.2653846153846154</v>
      </c>
      <c r="K121" s="296">
        <f>(1-J120)*$E$112/100</f>
        <v>0.1033846153846154</v>
      </c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</row>
    <row r="122" spans="1:43" ht="12">
      <c r="A122" s="103"/>
      <c r="B122" s="103" t="s">
        <v>177</v>
      </c>
      <c r="C122" s="297">
        <f>IF(C121=0,0,(1-$E$110/100)*($E$109-2)/((1+$E$109)*$E$109/2))</f>
        <v>0.14285714285714285</v>
      </c>
      <c r="D122" s="296">
        <f>SUM(C$120:C122)</f>
        <v>0.5142857142857142</v>
      </c>
      <c r="E122" s="296">
        <f>(1-D122)*$E$112/100</f>
        <v>0.058285714285714295</v>
      </c>
      <c r="F122" s="297">
        <f>IF(F121=0,0,(1-$F$111/100)*($F$110-2)/((1+$F$110)*$F$110/2))</f>
        <v>0.12363636363636363</v>
      </c>
      <c r="G122" s="296">
        <f>SUM(F$120:F122)</f>
        <v>0.41727272727272724</v>
      </c>
      <c r="H122" s="296">
        <f>(1-G121)*$E$112/100</f>
        <v>0.08476363636363636</v>
      </c>
      <c r="I122" s="297">
        <f>IF(I121=0,0,(1-$G$111/100)*($G$110-2)/((1+$G$110)*$G$110/2))</f>
        <v>0.11538461538461539</v>
      </c>
      <c r="J122" s="296">
        <f>SUM(I120:I122)</f>
        <v>0.38076923076923075</v>
      </c>
      <c r="K122" s="296">
        <f>(1-J121)*$E$112/100</f>
        <v>0.08815384615384617</v>
      </c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</row>
    <row r="123" spans="1:43" ht="12">
      <c r="A123" s="103"/>
      <c r="B123" s="103" t="s">
        <v>178</v>
      </c>
      <c r="C123" s="297">
        <f>IF(C122=0,0,(1-$E$110/100)*($E$109-3)/((1+$E$109)*$E$109/2))</f>
        <v>0.1142857142857143</v>
      </c>
      <c r="D123" s="296">
        <f>SUM(C$120:C123)</f>
        <v>0.6285714285714286</v>
      </c>
      <c r="E123" s="296">
        <f>(1-D123)*$E$112/100</f>
        <v>0.044571428571428574</v>
      </c>
      <c r="F123" s="297">
        <f>IF(F122=0,0,(1-$F$111/100)*($F$110-3)/((1+$F$110)*$F$110/2))</f>
        <v>0.10818181818181818</v>
      </c>
      <c r="G123" s="296">
        <f>SUM(F$120:F123)</f>
        <v>0.5254545454545454</v>
      </c>
      <c r="H123" s="296">
        <f>(1-G122)*$E$112/100</f>
        <v>0.06992727272727273</v>
      </c>
      <c r="I123" s="297">
        <f>IF(I122=0,0,(1-$G$111/100)*($G$110-3)/((1+$G$110)*$G$110/2))</f>
        <v>0.10384615384615384</v>
      </c>
      <c r="J123" s="296">
        <f>SUM(I120:I123)</f>
        <v>0.4846153846153846</v>
      </c>
      <c r="K123" s="296">
        <f>(1-J122)*$E$112/100</f>
        <v>0.07430769230769231</v>
      </c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</row>
    <row r="124" spans="1:43" ht="12">
      <c r="A124" s="103"/>
      <c r="B124" s="103" t="s">
        <v>179</v>
      </c>
      <c r="C124" s="297">
        <f>IF(C123=0,0,(1-$E$110/100)*($E$109-4)/((1+$E$109)*$E$109/2))</f>
        <v>0.08571428571428573</v>
      </c>
      <c r="D124" s="296">
        <f>SUM(C$120:C124)</f>
        <v>0.7142857142857144</v>
      </c>
      <c r="E124" s="296">
        <f>(1-D124)*$E$112/100</f>
        <v>0.034285714285714274</v>
      </c>
      <c r="F124" s="297">
        <f>IF(F123=0,0,(1-$F$111/100)*($F$110-4)/((1+$F$110)*$F$110/2))</f>
        <v>0.09272727272727273</v>
      </c>
      <c r="G124" s="296">
        <f>SUM(F$120:F124)</f>
        <v>0.6181818181818182</v>
      </c>
      <c r="H124" s="296">
        <f>(1-G123)*$E$112/100</f>
        <v>0.05694545454545455</v>
      </c>
      <c r="I124" s="297">
        <f>IF(I123=0,0,(1-$G$111/100)*($G$110-4)/((1+$G$110)*$G$110/2))</f>
        <v>0.09230769230769231</v>
      </c>
      <c r="J124" s="296">
        <f>SUM(I120:I124)</f>
        <v>0.5769230769230769</v>
      </c>
      <c r="K124" s="296">
        <f>(1-J123)*$E$112/100</f>
        <v>0.06184615384615384</v>
      </c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</row>
    <row r="125" spans="1:43" ht="12">
      <c r="A125" s="103"/>
      <c r="B125" s="103" t="s">
        <v>180</v>
      </c>
      <c r="C125" s="297">
        <f>IF(C124=0,0,(1-$E$110/100)*($E$109-5)/((1+$E$109)*$E$109/2))</f>
        <v>0.05714285714285715</v>
      </c>
      <c r="D125" s="296">
        <f>SUM(C$120:C125)</f>
        <v>0.7714285714285716</v>
      </c>
      <c r="E125" s="296">
        <f>(1-D125)*$E$112/100</f>
        <v>0.02742857142857141</v>
      </c>
      <c r="F125" s="297">
        <f>IF(F124=0,0,(1-$F$111/100)*($F$110-5)/((1+$F$110)*$F$110/2))</f>
        <v>0.07727272727272727</v>
      </c>
      <c r="G125" s="296">
        <f>SUM(F$120:F125)</f>
        <v>0.6954545454545453</v>
      </c>
      <c r="H125" s="296">
        <f>(1-G124)*$E$112/100</f>
        <v>0.04581818181818182</v>
      </c>
      <c r="I125" s="297">
        <f>IF(I124=0,0,(1-$G$111/100)*($G$110-5)/((1+$G$110)*$G$110/2))</f>
        <v>0.08076923076923077</v>
      </c>
      <c r="J125" s="296">
        <f>SUM(I120:I125)</f>
        <v>0.6576923076923078</v>
      </c>
      <c r="K125" s="296">
        <f>(1-J124)*$E$112/100</f>
        <v>0.050769230769230775</v>
      </c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</row>
    <row r="126" spans="1:43" ht="12">
      <c r="A126" s="103"/>
      <c r="B126" s="103" t="s">
        <v>181</v>
      </c>
      <c r="C126" s="297">
        <f>IF(C125=0,0,(1-$E$110/100)*($E$109-6)/((1+$E$109)*$E$109/2))</f>
        <v>0.028571428571428574</v>
      </c>
      <c r="D126" s="296">
        <f>SUM(C$120:C126)</f>
        <v>0.8</v>
      </c>
      <c r="E126" s="296">
        <f>(1-D126)*$E$112/100</f>
        <v>0.023999999999999994</v>
      </c>
      <c r="F126" s="297">
        <f>IF(F125=0,0,(1-$F$111/100)*($F$110-6)/((1+$F$110)*$F$110/2))</f>
        <v>0.061818181818181814</v>
      </c>
      <c r="G126" s="296">
        <f>SUM(F$120:F126)</f>
        <v>0.7572727272727271</v>
      </c>
      <c r="H126" s="296">
        <f>(1-G125)*$E$112/100</f>
        <v>0.03654545454545456</v>
      </c>
      <c r="I126" s="297">
        <f>IF(I125=0,0,(1-$G$111/100)*($G$110-6)/((1+$G$110)*$G$110/2))</f>
        <v>0.06923076923076923</v>
      </c>
      <c r="J126" s="296">
        <f>SUM(I120:I126)</f>
        <v>0.726923076923077</v>
      </c>
      <c r="K126" s="296">
        <f>(1-J125)*$E$112/100</f>
        <v>0.041076923076923066</v>
      </c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</row>
    <row r="127" spans="1:43" ht="12">
      <c r="A127" s="103"/>
      <c r="B127" s="103" t="s">
        <v>182</v>
      </c>
      <c r="C127" s="297">
        <f>IF(C126=0,0,(1-$E$110/100)*($E$109-7)/((1+$E$109)*$E$109/2))</f>
        <v>0</v>
      </c>
      <c r="D127" s="296">
        <f>SUM(C$120:C127)</f>
        <v>0.8</v>
      </c>
      <c r="E127" s="296">
        <f>(1-D127)*$E$112/100</f>
        <v>0.023999999999999994</v>
      </c>
      <c r="F127" s="297">
        <f>IF(F126=0,0,(1-$F$111/100)*($F$110-7)/((1+$F$110)*$F$110/2))</f>
        <v>0.046363636363636364</v>
      </c>
      <c r="G127" s="296">
        <f>SUM(F$120:F127)</f>
        <v>0.8036363636363635</v>
      </c>
      <c r="H127" s="296">
        <f>(1-G126)*$E$112/100</f>
        <v>0.029127272727272748</v>
      </c>
      <c r="I127" s="297">
        <f>IF(I126=0,0,(1-$G$111/100)*($G$110-7)/((1+$G$110)*$G$110/2))</f>
        <v>0.057692307692307696</v>
      </c>
      <c r="J127" s="296">
        <f>SUM(I120:I127)</f>
        <v>0.7846153846153847</v>
      </c>
      <c r="K127" s="296">
        <f>(1-J126)*$E$112/100</f>
        <v>0.03276923076923076</v>
      </c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</row>
    <row r="128" spans="1:43" ht="12">
      <c r="A128" s="103"/>
      <c r="B128" s="103" t="s">
        <v>183</v>
      </c>
      <c r="C128" s="297">
        <f>IF(C127=0,0,(1-$E$110/100)*($E$109-8)/((1+$E$109)*$E$109/2))</f>
        <v>0</v>
      </c>
      <c r="D128" s="296">
        <f>SUM(C$120:C128)</f>
        <v>0.8</v>
      </c>
      <c r="E128" s="296">
        <f>(1-D128)*$E$112/100</f>
        <v>0.023999999999999994</v>
      </c>
      <c r="F128" s="297">
        <f>IF(F127=0,0,(1-$F$111/100)*($F$110-8)/((1+$F$110)*$F$110/2))</f>
        <v>0.030909090909090907</v>
      </c>
      <c r="G128" s="296">
        <f>SUM(F$120:F128)</f>
        <v>0.8345454545454544</v>
      </c>
      <c r="H128" s="296">
        <f>(1-G127)*$E$112/100</f>
        <v>0.023563636363636384</v>
      </c>
      <c r="I128" s="297">
        <f>IF(I127=0,0,(1-$G$111/100)*($G$110-8)/((1+$G$110)*$G$110/2))</f>
        <v>0.046153846153846156</v>
      </c>
      <c r="J128" s="296">
        <f>SUM(I120:I128)</f>
        <v>0.8307692307692307</v>
      </c>
      <c r="K128" s="296">
        <f>(1-J127)*$E$112/100</f>
        <v>0.025846153846153835</v>
      </c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</row>
    <row r="129" spans="1:43" ht="12">
      <c r="A129" s="103"/>
      <c r="B129" s="103" t="s">
        <v>184</v>
      </c>
      <c r="C129" s="297">
        <f>IF(C128=0,0,(1-$E$110/100)*($E$109-9)/((1+$E$109)*$E$109/2))</f>
        <v>0</v>
      </c>
      <c r="D129" s="296">
        <f>SUM(C$120:C129)</f>
        <v>0.8</v>
      </c>
      <c r="E129" s="296">
        <f>(1-D129)*$E$112/100</f>
        <v>0.023999999999999994</v>
      </c>
      <c r="F129" s="297">
        <f>IF(F128=0,0,(1-$F$111/100)*($F$110-9)/((1+$F$110)*$F$110/2))</f>
        <v>0.015454545454545453</v>
      </c>
      <c r="G129" s="296">
        <f>SUM(F$120:F129)</f>
        <v>0.8499999999999999</v>
      </c>
      <c r="H129" s="296">
        <f>(1-G128)*$E$112/100</f>
        <v>0.019854545454545475</v>
      </c>
      <c r="I129" s="297">
        <f>IF(I128=0,0,(1-$G$111/100)*($G$110-9)/((1+$G$110)*$G$110/2))</f>
        <v>0.03461538461538462</v>
      </c>
      <c r="J129" s="296">
        <f>SUM(I120:I129)</f>
        <v>0.8653846153846154</v>
      </c>
      <c r="K129" s="296">
        <f>(1-J128)*$E$112/100</f>
        <v>0.020307692307692315</v>
      </c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</row>
    <row r="130" spans="1:43" ht="12">
      <c r="A130" s="103"/>
      <c r="B130" s="103" t="s">
        <v>185</v>
      </c>
      <c r="C130" s="297">
        <f>IF(C129=0,0,(1-$E$110/100)*($E$109-10)/((1+$E$109)*$E$109/2))</f>
        <v>0</v>
      </c>
      <c r="D130" s="296">
        <f>SUM(C$120:C130)</f>
        <v>0.8</v>
      </c>
      <c r="E130" s="296">
        <f>(1-D130)*$E$112/100</f>
        <v>0.023999999999999994</v>
      </c>
      <c r="F130" s="297">
        <f>IF(F129=0,0,(1-$F$111/100)*($F$110-10)/((1+$F$110)*$F$110/2))</f>
        <v>0</v>
      </c>
      <c r="G130" s="296">
        <f>SUM(F$120:F130)</f>
        <v>0.8499999999999999</v>
      </c>
      <c r="H130" s="296">
        <f>(1-G129)*$E$112/100</f>
        <v>0.018000000000000016</v>
      </c>
      <c r="I130" s="297">
        <f>IF(I129=0,0,(1-$G$111/100)*($G$110-10)/((1+$G$110)*$G$110/2))</f>
        <v>0.023076923076923078</v>
      </c>
      <c r="J130" s="296">
        <f>SUM(I120:I130)</f>
        <v>0.8884615384615384</v>
      </c>
      <c r="K130" s="296">
        <f>(1-J129)*$E$112/100</f>
        <v>0.01615384615384615</v>
      </c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</row>
    <row r="131" spans="1:43" ht="12.75" customHeight="1">
      <c r="A131" s="105"/>
      <c r="B131" s="103" t="s">
        <v>186</v>
      </c>
      <c r="C131" s="297">
        <f>IF(C130=0,0,(1-$E$110/100)*($E$109-11)/((1+$E$109)*$E$109/2))</f>
        <v>0</v>
      </c>
      <c r="D131" s="296">
        <f>SUM(C$120:C131)</f>
        <v>0.8</v>
      </c>
      <c r="E131" s="298">
        <f>(1-D131)*$E$112/100</f>
        <v>0.023999999999999994</v>
      </c>
      <c r="F131" s="297">
        <f>IF(F130=0,0,(1-$F$111/100)*($F$110-11)/((1+$F$110)*$F$110/2))</f>
        <v>0</v>
      </c>
      <c r="G131" s="296">
        <f>SUM(F$120:F131)</f>
        <v>0.8499999999999999</v>
      </c>
      <c r="H131" s="296">
        <f>(1-G130)*$E$112/100</f>
        <v>0.018000000000000016</v>
      </c>
      <c r="I131" s="297">
        <f>IF(I130=0,0,(1-$G$111/100)*($G$110-11)/((1+$G$110)*$G$110/2))</f>
        <v>0.011538461538461539</v>
      </c>
      <c r="J131" s="296">
        <f>SUM(I120:I131)</f>
        <v>0.8999999999999999</v>
      </c>
      <c r="K131" s="296">
        <f>(1-J130)*$E$112/100</f>
        <v>0.01338461538461539</v>
      </c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</row>
    <row r="132" spans="1:43" ht="12.75" customHeight="1">
      <c r="A132" s="135"/>
      <c r="B132" s="120" t="s">
        <v>187</v>
      </c>
      <c r="C132" s="299">
        <f>IF(C131=0,0,(1-$E$110/100)*($E$109-12)/((1+$E$109)*$E$109/2))</f>
        <v>0</v>
      </c>
      <c r="D132" s="298">
        <f>SUM(C$120:C132)</f>
        <v>0.8</v>
      </c>
      <c r="E132" s="135"/>
      <c r="F132" s="299">
        <f>IF(F131=0,0,(1-$F$111/100)*($F$110-12)/((1+$F$110)*$F$110/2))</f>
        <v>0</v>
      </c>
      <c r="G132" s="298">
        <f>SUM(F$120:F132)</f>
        <v>0.8499999999999999</v>
      </c>
      <c r="H132" s="298">
        <f>(1-G131)*$E$112/100</f>
        <v>0.018000000000000016</v>
      </c>
      <c r="I132" s="299">
        <f>IF(I131=0,0,(1-$G$111/100)*($G$110-12)/((1+$G$110)*$G$110/2))</f>
        <v>0</v>
      </c>
      <c r="J132" s="298">
        <f>SUM(I120:I132)</f>
        <v>0.8999999999999999</v>
      </c>
      <c r="K132" s="298">
        <f>(1-J131)*$E$112/100</f>
        <v>0.01200000000000001</v>
      </c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</row>
    <row r="133" spans="1:43" ht="12.75" customHeight="1">
      <c r="A133" s="135"/>
      <c r="B133" s="135"/>
      <c r="C133" s="135"/>
      <c r="D133" s="135"/>
      <c r="E133" s="109"/>
      <c r="F133" s="135"/>
      <c r="G133" s="135"/>
      <c r="H133" s="13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</row>
    <row r="134" spans="1:43" ht="12.75">
      <c r="A134" s="105"/>
      <c r="B134" s="109" t="s">
        <v>327</v>
      </c>
      <c r="C134" s="109"/>
      <c r="D134" s="109"/>
      <c r="E134" s="109"/>
      <c r="F134" s="109"/>
      <c r="G134" s="109"/>
      <c r="H134" s="109"/>
      <c r="I134" s="109"/>
      <c r="J134" s="109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</row>
    <row r="135" spans="1:43" ht="7.5" customHeight="1">
      <c r="A135" s="105"/>
      <c r="B135" s="135"/>
      <c r="C135" s="300"/>
      <c r="D135" s="135"/>
      <c r="E135" s="301"/>
      <c r="F135" s="302"/>
      <c r="G135" s="172"/>
      <c r="H135" s="172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</row>
    <row r="136" spans="1:43" ht="12.75">
      <c r="A136" s="105"/>
      <c r="B136" s="106" t="s">
        <v>328</v>
      </c>
      <c r="C136" s="106"/>
      <c r="D136" s="106"/>
      <c r="E136" s="234" t="s">
        <v>224</v>
      </c>
      <c r="F136" s="251" t="s">
        <v>329</v>
      </c>
      <c r="G136" s="303"/>
      <c r="H136" s="232" t="s">
        <v>171</v>
      </c>
      <c r="I136" s="232"/>
      <c r="J136" s="232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</row>
    <row r="137" spans="1:43" ht="12.75">
      <c r="A137" s="105"/>
      <c r="B137" s="120"/>
      <c r="C137" s="304"/>
      <c r="D137" s="300"/>
      <c r="E137" s="305">
        <f>IF(D59=0,E45*C120+E46*C121+E47*C122+E48*C123+E49*C124+E50*C125+E51*C126+E52*C127+E53*C128+E54*C129+E55*C130+E56*C131+E57*C132,IF(E58=0,D46*C120+D47*C121+D48*C122+D49*C123+D50*C124+D51*C125+D52*C126+D53*C127+D54*C128+D55*C129+D56*C130+D57*C131+D58*C132,((D46+E45)*C120+(D47+E46)*C121+(D48+E47)*C122+(D49+E48)*C123+(D50+E49)*C124+(D51+E50)*C125+(D52+E51)*C126+(D53+E52)*C127+(D54+E53)*C128+(D55+E54)*C129+(D56+E55)*C130+(D57+E56)*C131+(D58+E57)*C132)/2))</f>
        <v>5.285714285714286</v>
      </c>
      <c r="F137" s="114" t="s">
        <v>225</v>
      </c>
      <c r="G137" s="114" t="s">
        <v>226</v>
      </c>
      <c r="H137" s="234" t="s">
        <v>224</v>
      </c>
      <c r="I137" s="114" t="s">
        <v>225</v>
      </c>
      <c r="J137" s="114" t="s">
        <v>226</v>
      </c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</row>
    <row r="138" spans="1:43" ht="12">
      <c r="A138" s="105"/>
      <c r="B138" s="103" t="s">
        <v>330</v>
      </c>
      <c r="C138" s="105"/>
      <c r="D138" s="105"/>
      <c r="E138" s="306">
        <f>E107*E137</f>
        <v>1530135</v>
      </c>
      <c r="F138" s="307">
        <f>IF(G59=0,F46*F120+F47*F121+F48*F122+F49*F123+F50*F124+F51*F125+F52*F126+F53*F127+F54*F128+F55*F129+F56*F130+F57*F131+F58*F132,IF(F59=0,G46*F120+G47*F121+G48*F122+G49*F123+G50*F124+G51*F125+G52*F126+G53*F127+G54*F128+G55*F129+G56*F130+G57*F131+G58*F132,((G46+F46)*F120+(G47+F47)*F121+(G48+F48)*F122+(G49+F49)*F123+(G50+F50)*F124+(G51+F51)*F125+(G52+F52)*F126+(G53+F53)*F127+(G54+F54)*F128+(G55+F55)*F129+(G56+F56)*F130+(G57+F57)*F131+(G58+F58)*F132)/2))</f>
        <v>9.952727272727271</v>
      </c>
      <c r="G138" s="307">
        <f>IF(H59=0,I46*I120+I47*I121+I48*I122+I49*I123+I50*I124+I51*I125+I52*I126+I53*I127+I54*I128+I55*I129+I56*I130+I57*I131+I58*I132,IF(I59=0,H46*I120+H47*I121+H48*I122+H49*I123+H50*I124+H51*I125+H52*I126+H53*I127+H54*I128+H55*I129+H56*I130+H57*I131+H58*I132,((H46+I46)*I120+(H47+I47)*I121+(H48+I48)*I122+(H49+I49)*I123+(H50+I50)*I124+(H51+I51)*I125+(H52+I52)*I126+(H53+I53)*I127+(H54+I54)*I128+(H55+I55)*I129+(H56+I56)*I130+(H57+I57)*I131+(H58+I58)*I132)/2))</f>
        <v>0.011538461538461539</v>
      </c>
      <c r="H138" s="305">
        <f>IF(D59=0,E45*E119+E46*E120+E47*E121+E48*E122+E49*E123+E50*E124+E51*E125+E52*E126+E53*E127+E54*E128+E55*E129+E56*E130+E57*E131,IF(E58=0,D46*E119+D47*E120+D48*E121+D49*E122+D50*E123+D51*E124+D52*E125+D53*E126+D54*E127+D55*E128+D56*E129+D57*E130+D58*E131,((D46+E45)*E119+(D47+E46)*E120+(D48+E47)*E121+(D49+E48)*E122+(D50+E49)*E123+(D51+E50)*E124+(D52+E51)*E125+(D53+E52)*E126+(D54+E53)*E127+(D55+E54)*E128+(D56+E55)*E129+(D57+E56)*E130+(D58+E57)*E131)/2))</f>
        <v>3.507428571428571</v>
      </c>
      <c r="I138" s="307">
        <f>IF(F59=0,G46*H120+G47*H121+G48*H122+G49*H123+G50*H124+G51*H125+G52*H126+G53*H127+G54*H128+G55*H129+G56*H130+G57*H131+G58*H132,IF(G59=0,F46*H120+F47*H121+F48*H122+F49*H123+F50*H124+F51*H125+F52*H126+F53*H127+F54*H128+F55*H129+F56*H130+F57*H131+F58*H132,((F46+G46)*H120+(F47+G47)*H121+(F48+G48)*H122+(F49+G49)*H123+(F50+G50)*H124+(F51+G51)*H125+(F52+G52)*H126+(F53+G53)*H127+(F54+G54)*H128+(F55+G55)*H129+(F56+G56)*H130+(F57+G57)*H131+(F58+G58)*H132)/2))</f>
        <v>7.720363636363636</v>
      </c>
      <c r="J138" s="307">
        <f>IF(H59=0,I46*K120+I47*K121+I48*K122+I49*K123+I50*K124+I51*K125+I52*K126+I53*K127+I54*K128+I55*K129+I56*K130+I57*K131+I58*K132,IF(I59=0,H46*K120+H47*K121+H48*K122+H49*K123+H50*K124+H51*K125+H52*K126+H53*K127+H54*K128+H55*K129+H56*K130+H57*K131+H58*K132,((H46+I46)*K120+(H47+I47)*K121+(H48+I48)*K122+(H49+I49)*K123+(H50+I50)*K124+(H51+I51)*K125+(H52+I52)*K126+(H53+I53)*K127+(H54+I54)*K128+(H55+I55)*K129+(H56+I56)*K130+(H57+I57)*K131+(H58+I58)*K132)/2))</f>
        <v>0.0253846153846154</v>
      </c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</row>
    <row r="139" spans="1:43" ht="12">
      <c r="A139" s="105"/>
      <c r="B139" s="103" t="s">
        <v>331</v>
      </c>
      <c r="C139" s="105"/>
      <c r="D139" s="181" t="s">
        <v>332</v>
      </c>
      <c r="E139" s="306">
        <f>IF(D59=0,IF(E58=0,0,E138/E58),IF(E58=0,E138/D59,E138/MAX(D59,E58)))</f>
        <v>17792.267441860466</v>
      </c>
      <c r="F139" s="262">
        <f>F108*F138</f>
        <v>3009386.2399999998</v>
      </c>
      <c r="G139" s="262">
        <f>G108*G138</f>
        <v>5366.042307692308</v>
      </c>
      <c r="H139" s="306">
        <f>E107*H138</f>
        <v>1015347.96</v>
      </c>
      <c r="I139" s="308">
        <f>F108*I138</f>
        <v>2334390.912</v>
      </c>
      <c r="J139" s="308">
        <f>G108*J138</f>
        <v>11805.293076923084</v>
      </c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</row>
    <row r="140" spans="1:43" ht="12">
      <c r="A140" s="105"/>
      <c r="B140" s="103" t="s">
        <v>333</v>
      </c>
      <c r="C140" s="105"/>
      <c r="D140" s="181" t="s">
        <v>334</v>
      </c>
      <c r="E140" s="306">
        <f>E139/12</f>
        <v>1482.6889534883721</v>
      </c>
      <c r="F140" s="308">
        <f>IF(F59=0,IF(G59=0,0,F139/G59),IF(G59=0,F139/F59,F139/MAX(F59,G59)))</f>
        <v>21044.65902097902</v>
      </c>
      <c r="G140" s="308">
        <f>IF(H59=0,IF(I59=0,0,G139/I59),IF(I59=0,G139/H59,G139/MAX(H59,I59)))</f>
        <v>2683.021153846154</v>
      </c>
      <c r="H140" s="306">
        <f>IF(D59=0,IF(E58=0,0,H139/E58),IF(E58=0,H139/D59,H139/MAX(D59,E58)))</f>
        <v>11806.371627906976</v>
      </c>
      <c r="I140" s="308">
        <f>IF(F59=0,IF(G59=0,0,I139/G59),IF(G59=0,I139/F59,I139/MAX(F59,G59)))</f>
        <v>16324.411972027972</v>
      </c>
      <c r="J140" s="308">
        <f>IF(H59=0,IF(I59=0,0,J139/I59),IF(I59=0,J139/H59,J139/MAX(H59,I59)))</f>
        <v>5902.646538461542</v>
      </c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</row>
    <row r="141" spans="1:43" ht="12">
      <c r="A141" s="105"/>
      <c r="B141" s="103" t="s">
        <v>335</v>
      </c>
      <c r="C141" s="105"/>
      <c r="D141" s="181" t="s">
        <v>336</v>
      </c>
      <c r="E141" s="306">
        <f>IF(E140=0,0,$E$106*0.0001)</f>
        <v>29.800500000000003</v>
      </c>
      <c r="F141" s="262">
        <f>F140/12</f>
        <v>1753.7215850815849</v>
      </c>
      <c r="G141" s="262">
        <f>G140/12</f>
        <v>223.58509615384617</v>
      </c>
      <c r="H141" s="306">
        <f>H140/12</f>
        <v>983.8643023255813</v>
      </c>
      <c r="I141" s="262">
        <f>I140/12</f>
        <v>1360.3676643356644</v>
      </c>
      <c r="J141" s="262">
        <f>J140/12</f>
        <v>491.8872115384618</v>
      </c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</row>
    <row r="142" spans="1:43" ht="12">
      <c r="A142" s="105"/>
      <c r="B142" s="103" t="s">
        <v>337</v>
      </c>
      <c r="C142" s="105"/>
      <c r="D142" s="181" t="s">
        <v>336</v>
      </c>
      <c r="E142" s="309"/>
      <c r="F142" s="308">
        <f>IF(F141=0,0,$E$106*0.0001)</f>
        <v>29.800500000000003</v>
      </c>
      <c r="G142" s="308">
        <f>IF(G141=0,0,$E$106*0.0001)</f>
        <v>29.800500000000003</v>
      </c>
      <c r="H142" s="306">
        <f>IF(H141=0,0,$E106*0.0004)</f>
        <v>119.20200000000001</v>
      </c>
      <c r="I142" s="308">
        <f>IF(I141=0,0,$E106*0.0004)</f>
        <v>119.20200000000001</v>
      </c>
      <c r="J142" s="308">
        <f>IF(J141=0,0,$E106*0.0004)</f>
        <v>119.20200000000001</v>
      </c>
      <c r="K142" s="105"/>
      <c r="L142" s="105"/>
      <c r="M142" s="103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</row>
    <row r="143" spans="1:43" ht="12">
      <c r="A143" s="105"/>
      <c r="B143" s="103" t="s">
        <v>338</v>
      </c>
      <c r="C143" s="105"/>
      <c r="D143" s="181" t="s">
        <v>336</v>
      </c>
      <c r="E143" s="310">
        <f>E140+E141</f>
        <v>1512.4894534883722</v>
      </c>
      <c r="F143" s="204"/>
      <c r="G143" s="204"/>
      <c r="H143" s="306">
        <f>E106*0.0003</f>
        <v>89.4015</v>
      </c>
      <c r="I143" s="308">
        <f>F107*0.0003</f>
        <v>93.26639999999999</v>
      </c>
      <c r="J143" s="308">
        <f>G107*0.0003</f>
        <v>143.7771</v>
      </c>
      <c r="K143" s="105"/>
      <c r="L143" s="105"/>
      <c r="M143" s="103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</row>
    <row r="144" spans="1:43" ht="12">
      <c r="A144" s="105"/>
      <c r="B144" s="120" t="s">
        <v>280</v>
      </c>
      <c r="C144" s="263"/>
      <c r="D144" s="114" t="s">
        <v>336</v>
      </c>
      <c r="E144" s="199"/>
      <c r="F144" s="311">
        <f>F141+F142</f>
        <v>1783.522085081585</v>
      </c>
      <c r="G144" s="311">
        <f>G141+G142</f>
        <v>253.38559615384617</v>
      </c>
      <c r="H144" s="310">
        <f>H141+H142+H143</f>
        <v>1192.4678023255813</v>
      </c>
      <c r="I144" s="311">
        <f>I141+I142+I143</f>
        <v>1572.8360643356643</v>
      </c>
      <c r="J144" s="311">
        <f>J141+J142+J143</f>
        <v>754.8663115384619</v>
      </c>
      <c r="K144" s="105"/>
      <c r="L144" s="105"/>
      <c r="M144" s="103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</row>
    <row r="145" spans="1:43" ht="12">
      <c r="A145" s="105"/>
      <c r="B145" s="249"/>
      <c r="C145" s="199"/>
      <c r="D145" s="199"/>
      <c r="E145" s="199"/>
      <c r="F145" s="199"/>
      <c r="G145" s="199"/>
      <c r="H145" s="199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</row>
    <row r="146" spans="1:43" ht="12">
      <c r="A146" s="105"/>
      <c r="B146" s="249"/>
      <c r="C146" s="199"/>
      <c r="D146" s="199"/>
      <c r="E146" s="199"/>
      <c r="F146" s="199"/>
      <c r="G146" s="199"/>
      <c r="H146" s="199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</row>
    <row r="147" spans="1:43" ht="12">
      <c r="A147" s="105"/>
      <c r="B147" s="249"/>
      <c r="C147" s="199"/>
      <c r="D147" s="199"/>
      <c r="E147" s="199"/>
      <c r="F147" s="199"/>
      <c r="G147" s="199"/>
      <c r="H147" s="199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</row>
    <row r="148" spans="1:43" ht="12">
      <c r="A148" s="105"/>
      <c r="B148" s="249"/>
      <c r="C148" s="199"/>
      <c r="D148" s="199"/>
      <c r="E148" s="199"/>
      <c r="F148" s="199"/>
      <c r="G148" s="199"/>
      <c r="H148" s="199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</row>
    <row r="149" spans="1:43" ht="12">
      <c r="A149" s="105"/>
      <c r="B149" s="249"/>
      <c r="C149" s="199"/>
      <c r="D149" s="199"/>
      <c r="E149" s="199"/>
      <c r="F149" s="199"/>
      <c r="G149" s="199"/>
      <c r="H149" s="199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</row>
    <row r="150" spans="1:43" ht="12">
      <c r="A150" s="105"/>
      <c r="B150" s="249"/>
      <c r="C150" s="199"/>
      <c r="D150" s="199"/>
      <c r="E150" s="199"/>
      <c r="F150" s="199"/>
      <c r="G150" s="199"/>
      <c r="H150" s="199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</row>
    <row r="151" spans="1:43" ht="12">
      <c r="A151" s="105"/>
      <c r="B151" s="249"/>
      <c r="C151" s="199"/>
      <c r="D151" s="199"/>
      <c r="E151" s="199"/>
      <c r="F151" s="199"/>
      <c r="G151" s="199"/>
      <c r="H151" s="199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</row>
    <row r="152" spans="1:43" ht="12.75" customHeight="1">
      <c r="A152" s="105"/>
      <c r="B152" s="249"/>
      <c r="C152" s="199"/>
      <c r="D152" s="199"/>
      <c r="E152" s="199"/>
      <c r="F152" s="199"/>
      <c r="G152" s="199"/>
      <c r="H152" s="199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</row>
    <row r="153" spans="1:43" ht="12.75" customHeight="1">
      <c r="A153" s="105"/>
      <c r="B153" s="249"/>
      <c r="C153" s="199"/>
      <c r="D153" s="199"/>
      <c r="E153" s="199"/>
      <c r="F153" s="199"/>
      <c r="G153" s="199"/>
      <c r="H153" s="199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</row>
    <row r="154" spans="1:43" ht="12.75" customHeight="1">
      <c r="A154" s="105"/>
      <c r="B154" s="249"/>
      <c r="C154" s="199"/>
      <c r="D154" s="199"/>
      <c r="E154" s="199"/>
      <c r="F154" s="199"/>
      <c r="G154" s="199"/>
      <c r="H154" s="199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</row>
    <row r="155" spans="1:43" ht="12.75" customHeight="1">
      <c r="A155" s="105"/>
      <c r="B155" s="249"/>
      <c r="C155" s="199"/>
      <c r="D155" s="199"/>
      <c r="E155" s="105"/>
      <c r="F155" s="199"/>
      <c r="G155" s="199"/>
      <c r="H155" s="199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</row>
    <row r="156" spans="1:43" ht="12.75">
      <c r="A156" s="103" t="s">
        <v>339</v>
      </c>
      <c r="B156" s="103"/>
      <c r="C156" s="105"/>
      <c r="D156" s="103"/>
      <c r="E156" s="105"/>
      <c r="F156" s="105"/>
      <c r="G156" s="135"/>
      <c r="H156" s="135"/>
      <c r="I156" s="135"/>
      <c r="J156" s="201" t="s">
        <v>340</v>
      </c>
      <c r="K156" s="201"/>
      <c r="L156"/>
      <c r="M156"/>
      <c r="N156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</row>
    <row r="157" spans="1:43" ht="3" customHeight="1">
      <c r="A157" s="103"/>
      <c r="B157" s="103"/>
      <c r="C157" s="105"/>
      <c r="D157" s="103"/>
      <c r="E157" s="181" t="s">
        <v>341</v>
      </c>
      <c r="F157" s="105"/>
      <c r="G157" s="135"/>
      <c r="H157" s="135"/>
      <c r="I157" s="135"/>
      <c r="J157" s="105"/>
      <c r="K157" s="239"/>
      <c r="L157"/>
      <c r="M157"/>
      <c r="N157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</row>
    <row r="158" spans="1:43" ht="12.75">
      <c r="A158" s="105"/>
      <c r="B158" s="103" t="s">
        <v>342</v>
      </c>
      <c r="C158" s="135"/>
      <c r="D158" s="135"/>
      <c r="E158" s="312">
        <f>'CP'!H13</f>
        <v>40.16</v>
      </c>
      <c r="F158" s="181" t="s">
        <v>343</v>
      </c>
      <c r="G158" s="174" t="s">
        <v>344</v>
      </c>
      <c r="H158" s="135"/>
      <c r="I158" s="135"/>
      <c r="J158" s="114" t="s">
        <v>253</v>
      </c>
      <c r="K158" s="234" t="s">
        <v>254</v>
      </c>
      <c r="L158"/>
      <c r="M158"/>
      <c r="N158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</row>
    <row r="159" spans="1:43" ht="12.75">
      <c r="A159" s="105"/>
      <c r="B159" s="103" t="s">
        <v>345</v>
      </c>
      <c r="C159" s="135"/>
      <c r="D159" s="135"/>
      <c r="E159" s="313">
        <f>'CP'!H14</f>
        <v>40.16</v>
      </c>
      <c r="F159" s="314">
        <f>'CP'!H16</f>
        <v>2.21</v>
      </c>
      <c r="G159" s="262">
        <f>E22*(1+E158/100)*F159</f>
        <v>6504.8256</v>
      </c>
      <c r="H159" s="315" t="s">
        <v>346</v>
      </c>
      <c r="I159" s="315"/>
      <c r="J159" s="181" t="s">
        <v>347</v>
      </c>
      <c r="K159" s="239" t="s">
        <v>348</v>
      </c>
      <c r="L159"/>
      <c r="M159"/>
      <c r="N159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</row>
    <row r="160" spans="1:43" ht="12.75">
      <c r="A160" s="105"/>
      <c r="B160" s="103" t="s">
        <v>349</v>
      </c>
      <c r="C160" s="135"/>
      <c r="D160" s="135"/>
      <c r="E160" s="316">
        <f>'CP'!H15</f>
        <v>40.16</v>
      </c>
      <c r="F160" s="317">
        <f>'CP'!H17</f>
        <v>2.21</v>
      </c>
      <c r="G160" s="262">
        <f>E23*(1+E159/100)*F160</f>
        <v>3694.7099654399995</v>
      </c>
      <c r="H160" s="109" t="s">
        <v>344</v>
      </c>
      <c r="I160" s="109"/>
      <c r="J160" s="181" t="s">
        <v>347</v>
      </c>
      <c r="K160" s="239" t="s">
        <v>348</v>
      </c>
      <c r="L160"/>
      <c r="M160"/>
      <c r="N160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</row>
    <row r="161" spans="1:43" ht="12.75">
      <c r="A161" s="105"/>
      <c r="B161" s="103" t="s">
        <v>350</v>
      </c>
      <c r="C161" s="135"/>
      <c r="D161" s="135"/>
      <c r="E161" s="109"/>
      <c r="F161" s="318">
        <f>'CP'!H18</f>
        <v>0.14</v>
      </c>
      <c r="G161" s="262">
        <f>E24*(1+E160/100)*F161</f>
        <v>350.71704192</v>
      </c>
      <c r="H161" s="315">
        <f>G159+G160+G161</f>
        <v>10550.252607359998</v>
      </c>
      <c r="I161" s="315"/>
      <c r="J161" s="114" t="s">
        <v>351</v>
      </c>
      <c r="K161" s="234" t="s">
        <v>307</v>
      </c>
      <c r="L161"/>
      <c r="M161"/>
      <c r="N161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</row>
    <row r="162" spans="1:43" ht="3" customHeight="1">
      <c r="A162" s="105"/>
      <c r="B162" s="103"/>
      <c r="C162" s="135"/>
      <c r="D162" s="135"/>
      <c r="E162" s="172"/>
      <c r="F162" s="109"/>
      <c r="G162" s="262"/>
      <c r="H162" s="135"/>
      <c r="I162" s="135"/>
      <c r="J162" s="109"/>
      <c r="K162" s="109"/>
      <c r="L162"/>
      <c r="M162"/>
      <c r="N162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</row>
    <row r="163" spans="1:43" ht="12.75">
      <c r="A163" s="105"/>
      <c r="B163" s="103"/>
      <c r="C163" s="135"/>
      <c r="D163" s="135"/>
      <c r="E163" s="181" t="s">
        <v>172</v>
      </c>
      <c r="F163" s="172"/>
      <c r="G163" s="199"/>
      <c r="H163" s="315" t="s">
        <v>352</v>
      </c>
      <c r="I163" s="315"/>
      <c r="J163" s="201" t="s">
        <v>353</v>
      </c>
      <c r="K163" s="201"/>
      <c r="L163"/>
      <c r="M163"/>
      <c r="N163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</row>
    <row r="164" spans="1:43" ht="12.75">
      <c r="A164" s="105"/>
      <c r="B164" s="103"/>
      <c r="C164" s="135"/>
      <c r="D164" s="135"/>
      <c r="E164" s="268">
        <f>'CP'!H19</f>
        <v>0.135</v>
      </c>
      <c r="F164" s="135"/>
      <c r="G164" s="174" t="s">
        <v>344</v>
      </c>
      <c r="H164" s="109" t="s">
        <v>344</v>
      </c>
      <c r="I164" s="109"/>
      <c r="J164" s="114" t="s">
        <v>253</v>
      </c>
      <c r="K164" s="234" t="s">
        <v>254</v>
      </c>
      <c r="L164"/>
      <c r="M164"/>
      <c r="N164"/>
      <c r="O164" s="181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</row>
    <row r="165" spans="1:43" ht="12.75">
      <c r="A165" s="105"/>
      <c r="B165" s="103" t="s">
        <v>354</v>
      </c>
      <c r="C165" s="135"/>
      <c r="D165" s="135"/>
      <c r="E165" s="319">
        <f>'CP'!H20</f>
        <v>0.10500000000000001</v>
      </c>
      <c r="F165" s="135"/>
      <c r="G165" s="308">
        <f>(G159+G160+G161)*E164</f>
        <v>1424.2841019936</v>
      </c>
      <c r="H165" s="315">
        <f>G159+G160+G161+G165</f>
        <v>11974.536709353599</v>
      </c>
      <c r="I165" s="315"/>
      <c r="J165" s="283">
        <v>0.12</v>
      </c>
      <c r="K165" s="320">
        <v>0.15</v>
      </c>
      <c r="L165"/>
      <c r="M165"/>
      <c r="N165"/>
      <c r="O165" s="172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</row>
    <row r="166" spans="1:43" ht="12.75">
      <c r="A166" s="105"/>
      <c r="B166" s="103" t="s">
        <v>355</v>
      </c>
      <c r="C166" s="135"/>
      <c r="D166" s="135"/>
      <c r="E166" s="172"/>
      <c r="F166" s="135"/>
      <c r="G166" s="308">
        <f>(G159+G160+G161)*E165</f>
        <v>1107.7765237728</v>
      </c>
      <c r="H166" s="135"/>
      <c r="I166" s="135"/>
      <c r="J166" s="283">
        <v>0.08</v>
      </c>
      <c r="K166" s="320">
        <v>0.13</v>
      </c>
      <c r="L166"/>
      <c r="M166"/>
      <c r="N166"/>
      <c r="O166" s="321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</row>
    <row r="167" spans="1:43" ht="3" customHeight="1">
      <c r="A167" s="105"/>
      <c r="B167" s="103"/>
      <c r="C167" s="135"/>
      <c r="D167" s="135"/>
      <c r="E167" s="135"/>
      <c r="F167" s="199"/>
      <c r="G167" s="135"/>
      <c r="H167" s="135"/>
      <c r="I167" s="135"/>
      <c r="J167" s="114">
        <v>8</v>
      </c>
      <c r="K167" s="234">
        <v>13</v>
      </c>
      <c r="L167"/>
      <c r="M167"/>
      <c r="N167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</row>
    <row r="168" spans="1:43" ht="12.75">
      <c r="A168" s="105"/>
      <c r="B168" s="103" t="s">
        <v>356</v>
      </c>
      <c r="C168" s="135"/>
      <c r="D168" s="135"/>
      <c r="E168" s="172"/>
      <c r="F168" s="199"/>
      <c r="G168" s="199">
        <f>E26/J62</f>
        <v>173.79642857142858</v>
      </c>
      <c r="H168" s="135"/>
      <c r="I168" s="105"/>
      <c r="J168" s="105"/>
      <c r="K168" s="105"/>
      <c r="L168"/>
      <c r="M168"/>
      <c r="N168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</row>
    <row r="169" spans="1:43" ht="3" customHeight="1">
      <c r="A169" s="105"/>
      <c r="B169" s="103"/>
      <c r="C169" s="135"/>
      <c r="D169" s="135"/>
      <c r="E169" s="135"/>
      <c r="F169" s="199"/>
      <c r="G169" s="105"/>
      <c r="H169" s="105"/>
      <c r="I169" s="105"/>
      <c r="J169" s="105"/>
      <c r="K169" s="105"/>
      <c r="L169" s="105"/>
      <c r="M169" s="322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</row>
    <row r="170" spans="1:43" ht="12.75">
      <c r="A170" s="105"/>
      <c r="B170" s="103" t="s">
        <v>357</v>
      </c>
      <c r="C170" s="135"/>
      <c r="D170" s="135"/>
      <c r="E170" s="105"/>
      <c r="F170" s="105"/>
      <c r="G170" s="199">
        <f>E27/J62</f>
        <v>900</v>
      </c>
      <c r="H170" s="105"/>
      <c r="I170" s="105"/>
      <c r="J170" s="105"/>
      <c r="K170" s="105"/>
      <c r="L170" s="105"/>
      <c r="M170" s="322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</row>
    <row r="171" spans="1:43" ht="9" customHeight="1">
      <c r="A171" s="105"/>
      <c r="B171" s="103"/>
      <c r="C171" s="172"/>
      <c r="D171" s="105"/>
      <c r="E171" s="181"/>
      <c r="F171" s="172"/>
      <c r="G171" s="105"/>
      <c r="H171" s="105"/>
      <c r="I171" s="105"/>
      <c r="J171" s="105"/>
      <c r="K171" s="105"/>
      <c r="L171" s="105"/>
      <c r="M171" s="322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</row>
    <row r="172" spans="1:43" ht="12.75">
      <c r="A172" s="103" t="s">
        <v>358</v>
      </c>
      <c r="B172" s="103"/>
      <c r="C172" s="181"/>
      <c r="D172" s="181"/>
      <c r="E172" s="181" t="s">
        <v>172</v>
      </c>
      <c r="F172" s="105"/>
      <c r="G172" s="105"/>
      <c r="H172" s="181"/>
      <c r="I172" s="135"/>
      <c r="J172" s="201" t="s">
        <v>359</v>
      </c>
      <c r="K172" s="201"/>
      <c r="L172" s="105"/>
      <c r="M172" s="322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</row>
    <row r="173" spans="1:43" ht="12.75">
      <c r="A173" s="103"/>
      <c r="B173" s="103"/>
      <c r="C173" s="135"/>
      <c r="D173" s="135"/>
      <c r="E173" s="323">
        <f>'CP'!H21</f>
        <v>0.0025</v>
      </c>
      <c r="F173" s="135"/>
      <c r="G173" s="227" t="s">
        <v>344</v>
      </c>
      <c r="H173" s="324"/>
      <c r="I173" s="135"/>
      <c r="J173" s="114" t="s">
        <v>253</v>
      </c>
      <c r="K173" s="234" t="s">
        <v>254</v>
      </c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</row>
    <row r="174" spans="1:43" ht="12.75">
      <c r="A174" s="105"/>
      <c r="B174" s="103" t="s">
        <v>360</v>
      </c>
      <c r="C174" s="135"/>
      <c r="D174" s="135"/>
      <c r="E174" s="282"/>
      <c r="F174" s="135"/>
      <c r="G174" s="262">
        <f>E106*E173</f>
        <v>745.0125</v>
      </c>
      <c r="H174" s="325"/>
      <c r="I174" s="135"/>
      <c r="J174" s="114">
        <v>0.0017</v>
      </c>
      <c r="K174" s="234">
        <v>0.0033</v>
      </c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</row>
    <row r="175" spans="1:43" ht="12.75">
      <c r="A175" s="105"/>
      <c r="B175" s="103" t="s">
        <v>361</v>
      </c>
      <c r="C175" s="135"/>
      <c r="D175" s="135"/>
      <c r="E175" s="282"/>
      <c r="F175" s="135"/>
      <c r="G175" s="264">
        <f>E30/J59/12</f>
        <v>8.752474747474748</v>
      </c>
      <c r="H175" s="325"/>
      <c r="I175" s="135"/>
      <c r="J175" s="135"/>
      <c r="K175" s="13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</row>
    <row r="176" spans="1:43" ht="12.75">
      <c r="A176" s="105"/>
      <c r="B176" s="103" t="s">
        <v>362</v>
      </c>
      <c r="C176" s="135"/>
      <c r="D176" s="135"/>
      <c r="E176" s="183"/>
      <c r="F176" s="135"/>
      <c r="G176" s="262">
        <f>E31/12</f>
        <v>33.04083333333333</v>
      </c>
      <c r="H176" s="32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</row>
    <row r="177" spans="1:43" ht="12" customHeight="1">
      <c r="A177" s="105"/>
      <c r="B177" s="103" t="s">
        <v>363</v>
      </c>
      <c r="C177" s="135"/>
      <c r="D177" s="135"/>
      <c r="E177" s="105"/>
      <c r="F177" s="135"/>
      <c r="G177" s="262">
        <f>E32/J59/12</f>
        <v>25.116291486291487</v>
      </c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</row>
    <row r="178" spans="1:43" ht="12" customHeight="1">
      <c r="A178" s="105"/>
      <c r="B178" s="103"/>
      <c r="C178" s="183"/>
      <c r="D178" s="183"/>
      <c r="E178" s="105"/>
      <c r="F178" s="105"/>
      <c r="G178" s="13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</row>
    <row r="179" spans="1:43" ht="12.75">
      <c r="A179" s="224" t="s">
        <v>364</v>
      </c>
      <c r="B179" s="105"/>
      <c r="C179" s="105"/>
      <c r="D179" s="105"/>
      <c r="E179" s="181" t="s">
        <v>269</v>
      </c>
      <c r="F179" s="105"/>
      <c r="G179" s="105"/>
      <c r="H179" s="105"/>
      <c r="I179" s="135"/>
      <c r="J179" s="105"/>
      <c r="K179" s="105"/>
      <c r="L179"/>
      <c r="M179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</row>
    <row r="180" spans="1:43" ht="12.75">
      <c r="A180" s="105"/>
      <c r="B180" s="105"/>
      <c r="C180" s="135"/>
      <c r="D180" s="135"/>
      <c r="E180" s="228">
        <f>'CP'!H22</f>
        <v>4.5</v>
      </c>
      <c r="F180" s="105"/>
      <c r="G180" s="174" t="s">
        <v>191</v>
      </c>
      <c r="H180" s="105"/>
      <c r="I180" s="135"/>
      <c r="J180" s="105"/>
      <c r="K180" s="105"/>
      <c r="L180"/>
      <c r="M180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</row>
    <row r="181" spans="1:43" ht="12.75">
      <c r="A181" s="103" t="s">
        <v>365</v>
      </c>
      <c r="B181" s="105"/>
      <c r="C181" s="135"/>
      <c r="D181" s="135"/>
      <c r="E181" s="1"/>
      <c r="F181" s="105"/>
      <c r="G181" s="326">
        <f>F216-F214</f>
        <v>0.23516486874694742</v>
      </c>
      <c r="H181" s="105"/>
      <c r="I181" s="135"/>
      <c r="J181" s="105"/>
      <c r="K181" s="105"/>
      <c r="L181"/>
      <c r="M181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</row>
    <row r="182" spans="1:43" ht="12.75">
      <c r="A182" s="103"/>
      <c r="B182" s="105"/>
      <c r="C182" s="135"/>
      <c r="D182" s="135"/>
      <c r="E182" s="105"/>
      <c r="F182" s="105"/>
      <c r="G182" s="326"/>
      <c r="H182" s="105"/>
      <c r="I182" s="135"/>
      <c r="J182" s="105"/>
      <c r="K182" s="105"/>
      <c r="L182"/>
      <c r="M182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</row>
    <row r="183" spans="1:43" ht="12.75">
      <c r="A183" s="224" t="s">
        <v>366</v>
      </c>
      <c r="B183" s="105"/>
      <c r="C183" s="105"/>
      <c r="D183" s="105"/>
      <c r="E183" s="205"/>
      <c r="F183" s="105"/>
      <c r="G183" s="105"/>
      <c r="H183" s="105"/>
      <c r="I183" s="135"/>
      <c r="J183" s="105"/>
      <c r="K183" s="105"/>
      <c r="L183"/>
      <c r="M183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</row>
    <row r="184" spans="1:43" ht="12.75">
      <c r="A184" s="224"/>
      <c r="B184" s="105"/>
      <c r="C184" s="105"/>
      <c r="D184" s="327"/>
      <c r="E184" s="174" t="s">
        <v>190</v>
      </c>
      <c r="F184" s="205"/>
      <c r="G184" s="105"/>
      <c r="H184" s="105"/>
      <c r="I184" s="105"/>
      <c r="J184" s="105"/>
      <c r="K184" s="105"/>
      <c r="L184"/>
      <c r="M184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</row>
    <row r="185" spans="1:43" ht="12.75">
      <c r="A185" s="105"/>
      <c r="B185" s="105"/>
      <c r="C185" s="135"/>
      <c r="D185" s="174" t="s">
        <v>189</v>
      </c>
      <c r="E185" s="135"/>
      <c r="F185" s="174" t="s">
        <v>191</v>
      </c>
      <c r="G185" s="174" t="s">
        <v>192</v>
      </c>
      <c r="H185" s="174" t="s">
        <v>193</v>
      </c>
      <c r="I185" s="174" t="s">
        <v>367</v>
      </c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</row>
    <row r="186" spans="1:43" ht="12.75">
      <c r="A186" s="230" t="s">
        <v>368</v>
      </c>
      <c r="B186" s="105"/>
      <c r="C186" s="135"/>
      <c r="D186" s="135"/>
      <c r="E186" s="328"/>
      <c r="F186" s="135"/>
      <c r="G186" s="135"/>
      <c r="H186" s="135"/>
      <c r="I186" s="13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</row>
    <row r="187" spans="1:43" ht="12.75">
      <c r="A187" s="105"/>
      <c r="B187" s="329" t="s">
        <v>195</v>
      </c>
      <c r="C187" s="330"/>
      <c r="D187" s="328"/>
      <c r="E187" s="328"/>
      <c r="F187" s="331">
        <f>(G86*MAX(D59,E58)+G87*MAX(F59,G59)+G88*MAX(H59,I59))/J59</f>
        <v>0.9650810072727273</v>
      </c>
      <c r="G187" s="328">
        <f>(F187/F191)*100</f>
        <v>67.21115066166435</v>
      </c>
      <c r="H187" s="328">
        <f>(F187/F214)*100</f>
        <v>19.337506289698577</v>
      </c>
      <c r="I187" s="328">
        <f>(F187/$F$216)*100</f>
        <v>18.467318506662142</v>
      </c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</row>
    <row r="188" spans="1:43" ht="12.75">
      <c r="A188" s="105"/>
      <c r="B188" s="329" t="s">
        <v>196</v>
      </c>
      <c r="C188" s="330"/>
      <c r="D188" s="328"/>
      <c r="E188" s="328"/>
      <c r="F188" s="331">
        <f>G91</f>
        <v>0.013298400000000002</v>
      </c>
      <c r="G188" s="328">
        <f>(F188/F191)*100</f>
        <v>0.9261406651084301</v>
      </c>
      <c r="H188" s="328">
        <f>(F188/F214)*100</f>
        <v>0.2664624955884724</v>
      </c>
      <c r="I188" s="328">
        <f>(F188/$F$216)*100</f>
        <v>0.25447168328699116</v>
      </c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</row>
    <row r="189" spans="1:43" ht="12.75">
      <c r="A189" s="105"/>
      <c r="B189" s="329" t="s">
        <v>197</v>
      </c>
      <c r="C189" s="330"/>
      <c r="D189" s="328"/>
      <c r="E189" s="328"/>
      <c r="F189" s="331">
        <f>(G94*MAX(D59,E58)+G95*MAX(F59,G59)+G96*MAX(H59,I59))/J59</f>
        <v>0.14349013949013953</v>
      </c>
      <c r="G189" s="328">
        <f>(F189/F191)*100</f>
        <v>9.99308587678963</v>
      </c>
      <c r="H189" s="328">
        <f>(F189/F214)*100</f>
        <v>2.875138412206024</v>
      </c>
      <c r="I189" s="328">
        <f>(F189/$F$216)*100</f>
        <v>2.745757183656753</v>
      </c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</row>
    <row r="190" spans="1:43" ht="12.75">
      <c r="A190" s="105"/>
      <c r="B190" s="329" t="s">
        <v>198</v>
      </c>
      <c r="C190" s="330"/>
      <c r="D190" s="328"/>
      <c r="E190" s="328"/>
      <c r="F190" s="331">
        <f>(G99*MAX(D59,E58)+G100*MAX(F59,G59)+G101*MAX(H59,I59))/J59</f>
        <v>0.3140246430730867</v>
      </c>
      <c r="G190" s="328">
        <f>(F190/F191)*100</f>
        <v>21.8696227964376</v>
      </c>
      <c r="H190" s="328">
        <f>(F190/F214)*100</f>
        <v>6.292169739933675</v>
      </c>
      <c r="I190" s="328">
        <f>(F190/$F$216)*100</f>
        <v>6.00902210163666</v>
      </c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</row>
    <row r="191" spans="1:43" ht="12.75">
      <c r="A191" s="135"/>
      <c r="B191" s="332" t="s">
        <v>199</v>
      </c>
      <c r="C191" s="330"/>
      <c r="D191" s="328"/>
      <c r="E191" s="262"/>
      <c r="F191" s="331">
        <f>SUM(F187:F190)</f>
        <v>1.4358941898359534</v>
      </c>
      <c r="G191" s="328">
        <f>SUM(G187:G190)</f>
        <v>100</v>
      </c>
      <c r="H191" s="328">
        <f>SUM(H187:H190)</f>
        <v>28.771276937426748</v>
      </c>
      <c r="I191" s="328">
        <f>SUM(I187:I190)</f>
        <v>27.476569475242545</v>
      </c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</row>
    <row r="192" spans="1:43" ht="9.75" customHeight="1">
      <c r="A192" s="230"/>
      <c r="B192" s="135"/>
      <c r="C192" s="135"/>
      <c r="D192" s="262"/>
      <c r="E192" s="204"/>
      <c r="F192" s="262"/>
      <c r="G192" s="262"/>
      <c r="H192" s="262"/>
      <c r="I192" s="262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</row>
    <row r="193" spans="1:43" ht="12">
      <c r="A193" s="230" t="s">
        <v>369</v>
      </c>
      <c r="B193" s="105"/>
      <c r="C193" s="181"/>
      <c r="D193" s="204"/>
      <c r="E193" s="328">
        <f>E194+E195</f>
        <v>385624.5223589743</v>
      </c>
      <c r="F193" s="204"/>
      <c r="G193" s="204"/>
      <c r="H193" s="262"/>
      <c r="I193" s="264"/>
      <c r="J193" s="181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</row>
    <row r="194" spans="1:43" ht="12.75">
      <c r="A194" s="105"/>
      <c r="B194" s="329" t="s">
        <v>170</v>
      </c>
      <c r="C194" s="330"/>
      <c r="D194" s="328">
        <f>D195+D196</f>
        <v>1669.3702266622265</v>
      </c>
      <c r="E194" s="262">
        <f>D195*J59</f>
        <v>378740.6068589743</v>
      </c>
      <c r="F194" s="331">
        <f>F195+F196</f>
        <v>0.35376773758907787</v>
      </c>
      <c r="G194" s="328">
        <f>G195+G196</f>
        <v>9.951757038816062</v>
      </c>
      <c r="H194" s="328">
        <f>H195+H196</f>
        <v>7.088509461038435</v>
      </c>
      <c r="I194" s="328">
        <f>I195+I196</f>
        <v>6.769526535291704</v>
      </c>
      <c r="J194" s="13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</row>
    <row r="195" spans="1:43" ht="12.75">
      <c r="A195" s="105"/>
      <c r="B195" s="105" t="s">
        <v>201</v>
      </c>
      <c r="C195" s="135"/>
      <c r="D195" s="262">
        <f>(E140*MAX(D59,E58)+F141*MAX(F59,G59)+G141*MAX(H59,I59))/J59</f>
        <v>1639.5697266622265</v>
      </c>
      <c r="E195" s="262">
        <f>D196*J59</f>
        <v>6883.9155</v>
      </c>
      <c r="F195" s="333">
        <f>E194/E66</f>
        <v>0.3474525084711475</v>
      </c>
      <c r="G195" s="262">
        <f>(F195/F212)*100</f>
        <v>9.774104813504604</v>
      </c>
      <c r="H195" s="262">
        <f>(F195/F214)*100</f>
        <v>6.961970049456838</v>
      </c>
      <c r="I195" s="262">
        <f>(F195/$F$216)*100</f>
        <v>6.648681397231279</v>
      </c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</row>
    <row r="196" spans="1:43" ht="12.75">
      <c r="A196" s="105"/>
      <c r="B196" s="103" t="s">
        <v>370</v>
      </c>
      <c r="C196" s="135"/>
      <c r="D196" s="262">
        <f>(E141*MAX(D59,E58)+F142*MAX(F59,G59)+G142*MAX(H59,I59))/J59</f>
        <v>29.8005</v>
      </c>
      <c r="E196" s="328">
        <f>SUM(E197:E199)</f>
        <v>328977.5208230769</v>
      </c>
      <c r="F196" s="333">
        <f>E195/$E$66</f>
        <v>0.006315229117930371</v>
      </c>
      <c r="G196" s="262">
        <f>(F196/F212)*100</f>
        <v>0.1776522253114583</v>
      </c>
      <c r="H196" s="262">
        <f>(F196/F214)*100</f>
        <v>0.12653941158159732</v>
      </c>
      <c r="I196" s="262">
        <f>(F196/$F$216)*100</f>
        <v>0.12084513806042545</v>
      </c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</row>
    <row r="197" spans="1:43" ht="12.75">
      <c r="A197" s="105"/>
      <c r="B197" s="148" t="s">
        <v>171</v>
      </c>
      <c r="C197" s="330"/>
      <c r="D197" s="328">
        <f>SUM(D198:D200)</f>
        <v>1424.1451117882116</v>
      </c>
      <c r="E197" s="262">
        <f>D198*J59</f>
        <v>280128.6804230769</v>
      </c>
      <c r="F197" s="331">
        <f>SUM(F198:F200)</f>
        <v>0.3018003952323993</v>
      </c>
      <c r="G197" s="328">
        <f>SUM(G198:G200)</f>
        <v>8.489875950927377</v>
      </c>
      <c r="H197" s="328">
        <f>SUM(H198:H200)</f>
        <v>6.047230229442071</v>
      </c>
      <c r="I197" s="328">
        <f>SUM(I198:I200)</f>
        <v>5.775104869117177</v>
      </c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</row>
    <row r="198" spans="1:43" ht="12.75">
      <c r="A198" s="105"/>
      <c r="B198" s="105" t="s">
        <v>201</v>
      </c>
      <c r="C198" s="135"/>
      <c r="D198" s="262">
        <f>(H141*MAX(D59,E58)+I141*MAX(F59,G59)+J141*MAX(H59,I59))/J59</f>
        <v>1212.67827022977</v>
      </c>
      <c r="E198" s="262">
        <f>D199*J59</f>
        <v>27535.662</v>
      </c>
      <c r="F198" s="333">
        <f>E197/$E$66</f>
        <v>0.25698700098442906</v>
      </c>
      <c r="G198" s="262">
        <f>(F198/F212)*100</f>
        <v>7.229240895057755</v>
      </c>
      <c r="H198" s="262">
        <f>(F198/F214)*100</f>
        <v>5.149295976666981</v>
      </c>
      <c r="I198" s="262">
        <f>(F198/$F$216)*100</f>
        <v>4.917577657716967</v>
      </c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</row>
    <row r="199" spans="1:43" ht="12.75">
      <c r="A199" s="105"/>
      <c r="B199" s="103" t="s">
        <v>370</v>
      </c>
      <c r="C199" s="135"/>
      <c r="D199" s="262">
        <f>(H142*MAX(D59,E58)+I142*MAX(F59,G59)+J142*MAX(H59,I59))/J59</f>
        <v>119.202</v>
      </c>
      <c r="E199" s="262">
        <f>D200*J59</f>
        <v>21313.178399999997</v>
      </c>
      <c r="F199" s="333">
        <f>E198/$E$66</f>
        <v>0.025260916471721483</v>
      </c>
      <c r="G199" s="262">
        <f>(F199/F212)*100</f>
        <v>0.7106089012458332</v>
      </c>
      <c r="H199" s="262">
        <f>(F199/F214)*100</f>
        <v>0.5061576463263893</v>
      </c>
      <c r="I199" s="262">
        <f>(F199/$F$216)*100</f>
        <v>0.4833805522417018</v>
      </c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</row>
    <row r="200" spans="1:43" ht="12.75">
      <c r="A200" s="105"/>
      <c r="B200" s="105" t="s">
        <v>204</v>
      </c>
      <c r="C200" s="135"/>
      <c r="D200" s="262">
        <f>(H143*MAX(D59,E58)+I143*MAX(F59,G59)+J143*MAX(H59,I59))/J59</f>
        <v>92.26484155844155</v>
      </c>
      <c r="E200" s="334">
        <f>SUM(E201:E205)</f>
        <v>2972783.028956544</v>
      </c>
      <c r="F200" s="333">
        <f>E199/$E$66</f>
        <v>0.019552477776248793</v>
      </c>
      <c r="G200" s="262">
        <f>(F200/F212)*100</f>
        <v>0.5500261546237901</v>
      </c>
      <c r="H200" s="262">
        <f>(F200/F214)*100</f>
        <v>0.3917766064487005</v>
      </c>
      <c r="I200" s="262">
        <f>(F200/$F$216)*100</f>
        <v>0.374146659158509</v>
      </c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</row>
    <row r="201" spans="1:43" ht="12.75">
      <c r="A201" s="105"/>
      <c r="B201" s="148" t="s">
        <v>205</v>
      </c>
      <c r="C201" s="330"/>
      <c r="D201" s="334">
        <f>SUM(D202:D206)</f>
        <v>14156.109661697828</v>
      </c>
      <c r="E201" s="262">
        <f>D202*$J$62</f>
        <v>2215553.0475456</v>
      </c>
      <c r="F201" s="335">
        <f>SUM(F202:F206)</f>
        <v>2.727198778915228</v>
      </c>
      <c r="G201" s="328">
        <f>SUM(G202:G206)</f>
        <v>76.71818755797736</v>
      </c>
      <c r="H201" s="328">
        <f>SUM(H202:H206)</f>
        <v>54.64538535429722</v>
      </c>
      <c r="I201" s="328">
        <f>SUM(I202:I206)</f>
        <v>52.18634301335385</v>
      </c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</row>
    <row r="202" spans="1:43" ht="12.75">
      <c r="A202" s="105"/>
      <c r="B202" s="105" t="s">
        <v>206</v>
      </c>
      <c r="C202" s="135"/>
      <c r="D202" s="262">
        <f>SUM(G159:G161)</f>
        <v>10550.25260736</v>
      </c>
      <c r="E202" s="262">
        <f>D203*$J$62</f>
        <v>299099.661418656</v>
      </c>
      <c r="F202" s="333">
        <f>E201/$E$66</f>
        <v>2.032524239755608</v>
      </c>
      <c r="G202" s="262">
        <f>(F202/F212)*100</f>
        <v>57.176461447276495</v>
      </c>
      <c r="H202" s="262">
        <f>(F202/F214)*100</f>
        <v>40.726063381259536</v>
      </c>
      <c r="I202" s="262">
        <f>(F202/$F$216)*100</f>
        <v>38.89339052910286</v>
      </c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</row>
    <row r="203" spans="1:43" ht="12.75">
      <c r="A203" s="105"/>
      <c r="B203" s="105" t="s">
        <v>207</v>
      </c>
      <c r="C203" s="135"/>
      <c r="D203" s="262">
        <f>G165</f>
        <v>1424.2841019936</v>
      </c>
      <c r="E203" s="262">
        <f>D204*$J$62</f>
        <v>232633.069992288</v>
      </c>
      <c r="F203" s="333">
        <f>E202/$E$66</f>
        <v>0.27439077236700704</v>
      </c>
      <c r="G203" s="262">
        <f>(F203/F212)*100</f>
        <v>7.718822295382326</v>
      </c>
      <c r="H203" s="262">
        <f>(F203/F214)*100</f>
        <v>5.498018556470037</v>
      </c>
      <c r="I203" s="262">
        <f>(F203/$F$216)*100</f>
        <v>5.250607721428886</v>
      </c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</row>
    <row r="204" spans="1:43" ht="12.75">
      <c r="A204" s="105"/>
      <c r="B204" s="105" t="s">
        <v>208</v>
      </c>
      <c r="C204" s="135"/>
      <c r="D204" s="262">
        <f>G166</f>
        <v>1107.7765237728</v>
      </c>
      <c r="E204" s="262">
        <f>E26</f>
        <v>36497.25</v>
      </c>
      <c r="F204" s="333">
        <f>E203/$E$66</f>
        <v>0.2134150451743388</v>
      </c>
      <c r="G204" s="262">
        <f>(F204/F212)*100</f>
        <v>6.003528451964031</v>
      </c>
      <c r="H204" s="262">
        <f>(F204/F214)*100</f>
        <v>4.276236655032251</v>
      </c>
      <c r="I204" s="262">
        <f>(F204/$F$216)*100</f>
        <v>4.083806005555799</v>
      </c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</row>
    <row r="205" spans="1:43" ht="12.75">
      <c r="A205" s="105"/>
      <c r="B205" s="103" t="s">
        <v>209</v>
      </c>
      <c r="C205" s="135"/>
      <c r="D205" s="262">
        <f>G168</f>
        <v>173.79642857142858</v>
      </c>
      <c r="E205" s="262">
        <f>E27</f>
        <v>189000</v>
      </c>
      <c r="F205" s="333">
        <f>E204/$E$66</f>
        <v>0.03348217971652676</v>
      </c>
      <c r="G205" s="262">
        <f>(F205/F212)*100</f>
        <v>0.9418793243828488</v>
      </c>
      <c r="H205" s="262">
        <f>(F205/F214)*100</f>
        <v>0.6708886155482955</v>
      </c>
      <c r="I205" s="262">
        <f>(F205/$F$216)*100</f>
        <v>0.6406986278486221</v>
      </c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</row>
    <row r="206" spans="1:43" ht="12.75">
      <c r="A206" s="105"/>
      <c r="B206" s="103" t="s">
        <v>210</v>
      </c>
      <c r="C206" s="135"/>
      <c r="D206" s="262">
        <f>G170</f>
        <v>900</v>
      </c>
      <c r="E206" s="328">
        <f>SUM(E207:E210)</f>
        <v>187554.005</v>
      </c>
      <c r="F206" s="333">
        <f>E205/$E$66</f>
        <v>0.17338654190174763</v>
      </c>
      <c r="G206" s="262">
        <f>(F206/F212)*100</f>
        <v>4.87749603897166</v>
      </c>
      <c r="H206" s="262">
        <f>(F206/F214)*100</f>
        <v>3.4741781459871044</v>
      </c>
      <c r="I206" s="262">
        <f>(F206/$F$216)*100</f>
        <v>3.3178401294176845</v>
      </c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</row>
    <row r="207" spans="1:43" ht="12.75">
      <c r="A207" s="105"/>
      <c r="B207" s="148" t="s">
        <v>371</v>
      </c>
      <c r="C207" s="330"/>
      <c r="D207" s="328">
        <f>SUM(D208:D211)</f>
        <v>811.9220995670996</v>
      </c>
      <c r="E207" s="262">
        <f>D208*J59</f>
        <v>172097.8875</v>
      </c>
      <c r="F207" s="331">
        <f>F208+F209+F210+F211</f>
        <v>0.17206000183477826</v>
      </c>
      <c r="G207" s="328">
        <f>G208+G209+G210+G211</f>
        <v>4.840179452279212</v>
      </c>
      <c r="H207" s="328">
        <f>H208+H209+H210+H211</f>
        <v>3.4475980177955354</v>
      </c>
      <c r="I207" s="328">
        <f>I208+I209+I210+I211</f>
        <v>3.2924561069947362</v>
      </c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</row>
    <row r="208" spans="1:43" ht="12.75">
      <c r="A208" s="105"/>
      <c r="B208" s="105" t="s">
        <v>212</v>
      </c>
      <c r="C208" s="135"/>
      <c r="D208" s="262">
        <f>G174</f>
        <v>745.0125</v>
      </c>
      <c r="E208" s="262">
        <f>D209*J59</f>
        <v>2021.821666666667</v>
      </c>
      <c r="F208" s="333">
        <f>E207/$E$66</f>
        <v>0.15788072794825928</v>
      </c>
      <c r="G208" s="262">
        <f>(F208/F212)*100</f>
        <v>4.441305632786459</v>
      </c>
      <c r="H208" s="262">
        <f>(F208/F214)*100</f>
        <v>3.163485289539933</v>
      </c>
      <c r="I208" s="262">
        <f>(F208/$F$216)*100</f>
        <v>3.021128451510636</v>
      </c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</row>
    <row r="209" spans="1:43" ht="12.75">
      <c r="A209" s="105"/>
      <c r="B209" s="103" t="s">
        <v>213</v>
      </c>
      <c r="C209" s="135"/>
      <c r="D209" s="262">
        <f>G175</f>
        <v>8.752474747474748</v>
      </c>
      <c r="E209" s="262">
        <f>D210*J59</f>
        <v>7632.4325</v>
      </c>
      <c r="F209" s="333">
        <f>E208/$E$66</f>
        <v>0.001854797180557467</v>
      </c>
      <c r="G209" s="262">
        <f>(F209/F212)*100</f>
        <v>0.052176863336898145</v>
      </c>
      <c r="H209" s="262">
        <f>(F209/F214)*100</f>
        <v>0.0371649134889765</v>
      </c>
      <c r="I209" s="262">
        <f>(F209/$F$216)*100</f>
        <v>0.03549249238197256</v>
      </c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</row>
    <row r="210" spans="1:43" ht="12.75">
      <c r="A210" s="105"/>
      <c r="B210" s="103" t="s">
        <v>214</v>
      </c>
      <c r="C210" s="135"/>
      <c r="D210" s="262">
        <f>G176</f>
        <v>33.04083333333333</v>
      </c>
      <c r="E210" s="262">
        <f>D211*J59</f>
        <v>5801.863333333334</v>
      </c>
      <c r="F210" s="333">
        <f>E209/$E$66</f>
        <v>0.007001910462822806</v>
      </c>
      <c r="G210" s="262">
        <f>(F210/F212)*100</f>
        <v>0.19696909675380195</v>
      </c>
      <c r="H210" s="262">
        <f>(F210/F214)*100</f>
        <v>0.14029857244561755</v>
      </c>
      <c r="I210" s="262">
        <f>(F210/$F$216)*100</f>
        <v>0.13398513668556475</v>
      </c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</row>
    <row r="211" spans="1:43" ht="12.75">
      <c r="A211" s="105"/>
      <c r="B211" s="103" t="s">
        <v>215</v>
      </c>
      <c r="C211" s="135"/>
      <c r="D211" s="262">
        <f>G177</f>
        <v>25.116291486291487</v>
      </c>
      <c r="E211" s="328">
        <f>E193+E196+E200+E206</f>
        <v>3874939.0771385953</v>
      </c>
      <c r="F211" s="333">
        <f>E210/$E$66</f>
        <v>0.005322566243138694</v>
      </c>
      <c r="G211" s="262">
        <f>(F211/F212)*100</f>
        <v>0.14972785940205424</v>
      </c>
      <c r="H211" s="262">
        <f>(F211/F214)*100</f>
        <v>0.10664924232100827</v>
      </c>
      <c r="I211" s="262">
        <f>(F211/$F$216)*100</f>
        <v>0.10185002641656289</v>
      </c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</row>
    <row r="212" spans="1:43" ht="12.75">
      <c r="A212" s="135"/>
      <c r="B212" s="332" t="s">
        <v>216</v>
      </c>
      <c r="C212" s="330"/>
      <c r="D212" s="328">
        <f>D194+D197+D201+D207</f>
        <v>18061.547099715364</v>
      </c>
      <c r="E212" s="262"/>
      <c r="F212" s="331">
        <f>F194+F197+F201+F207</f>
        <v>3.554826913571483</v>
      </c>
      <c r="G212" s="328">
        <f>G194+G197+G201+G207</f>
        <v>100.00000000000001</v>
      </c>
      <c r="H212" s="328">
        <f>H194+H197+H201+H207</f>
        <v>71.22872306257327</v>
      </c>
      <c r="I212" s="328">
        <f>I194+I197+I201+I207</f>
        <v>68.02343052475746</v>
      </c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</row>
    <row r="213" spans="1:43" ht="9.75" customHeight="1">
      <c r="A213" s="103"/>
      <c r="B213" s="103"/>
      <c r="C213" s="183"/>
      <c r="D213" s="262"/>
      <c r="E213" s="262"/>
      <c r="F213" s="333"/>
      <c r="G213" s="262"/>
      <c r="H213" s="262"/>
      <c r="I213" s="262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</row>
    <row r="214" spans="1:43" ht="12.75">
      <c r="A214" s="230" t="s">
        <v>372</v>
      </c>
      <c r="B214" s="103"/>
      <c r="C214" s="135"/>
      <c r="D214" s="262"/>
      <c r="E214" s="262"/>
      <c r="F214" s="333">
        <f>F191+F212</f>
        <v>4.990721103407436</v>
      </c>
      <c r="G214" s="262"/>
      <c r="H214" s="262">
        <f>H191+H212</f>
        <v>100.00000000000001</v>
      </c>
      <c r="I214" s="262">
        <f>I191+I212</f>
        <v>95.5</v>
      </c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</row>
    <row r="215" spans="1:43" ht="9.75" customHeight="1">
      <c r="A215" s="230"/>
      <c r="B215" s="103"/>
      <c r="C215" s="135"/>
      <c r="D215" s="262"/>
      <c r="E215" s="262"/>
      <c r="F215" s="333"/>
      <c r="G215" s="262"/>
      <c r="H215" s="262"/>
      <c r="I215" s="262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</row>
    <row r="216" spans="1:43" ht="12.75">
      <c r="A216" s="230" t="s">
        <v>373</v>
      </c>
      <c r="B216" s="103"/>
      <c r="C216" s="135"/>
      <c r="D216" s="262"/>
      <c r="E216" s="336"/>
      <c r="F216" s="333">
        <f>F214/(1-E180/100)</f>
        <v>5.2258859721543836</v>
      </c>
      <c r="G216" s="262"/>
      <c r="H216" s="262"/>
      <c r="I216" s="262">
        <f>(F216-F214)/$F$216*100</f>
        <v>4.5000000000000036</v>
      </c>
      <c r="J216" s="135"/>
      <c r="K216" s="135"/>
      <c r="L216" s="135"/>
      <c r="M216" s="135"/>
      <c r="N216" s="135"/>
      <c r="O216" s="135"/>
      <c r="P216" s="13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</row>
    <row r="217" spans="1:43" ht="9.75" customHeight="1">
      <c r="A217" s="230"/>
      <c r="B217" s="103"/>
      <c r="C217" s="135"/>
      <c r="D217" s="336"/>
      <c r="E217" s="337">
        <f>F216/E72</f>
        <v>2.635792322855156</v>
      </c>
      <c r="F217" s="336"/>
      <c r="G217" s="336"/>
      <c r="H217" s="336"/>
      <c r="I217" s="262">
        <f>I191+I212+I216</f>
        <v>100</v>
      </c>
      <c r="J217" s="135"/>
      <c r="K217" s="135"/>
      <c r="L217" s="135"/>
      <c r="M217" s="135"/>
      <c r="N217" s="135"/>
      <c r="O217" s="135"/>
      <c r="P217" s="13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</row>
    <row r="218" spans="1:43" ht="15.75">
      <c r="A218" s="151" t="s">
        <v>374</v>
      </c>
      <c r="B218" s="172"/>
      <c r="C218" s="135"/>
      <c r="D218" s="338" t="s">
        <v>202</v>
      </c>
      <c r="E218" s="105"/>
      <c r="F218" s="339"/>
      <c r="G218" s="262"/>
      <c r="H218" s="262"/>
      <c r="I218" s="32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</row>
  </sheetData>
  <sheetProtection password="C67C" sheet="1"/>
  <mergeCells count="26">
    <mergeCell ref="D44:E44"/>
    <mergeCell ref="F44:G44"/>
    <mergeCell ref="H44:I44"/>
    <mergeCell ref="J84:K84"/>
    <mergeCell ref="J90:K90"/>
    <mergeCell ref="H98:I98"/>
    <mergeCell ref="J98:K98"/>
    <mergeCell ref="B115:K115"/>
    <mergeCell ref="C117:E117"/>
    <mergeCell ref="F117:H117"/>
    <mergeCell ref="I117:K117"/>
    <mergeCell ref="D118:E118"/>
    <mergeCell ref="G118:H118"/>
    <mergeCell ref="J118:K118"/>
    <mergeCell ref="B134:J134"/>
    <mergeCell ref="B136:D136"/>
    <mergeCell ref="H136:J136"/>
    <mergeCell ref="J156:K156"/>
    <mergeCell ref="H159:I159"/>
    <mergeCell ref="H160:I160"/>
    <mergeCell ref="H161:I161"/>
    <mergeCell ref="H163:I163"/>
    <mergeCell ref="J163:K163"/>
    <mergeCell ref="H164:I164"/>
    <mergeCell ref="H165:I165"/>
    <mergeCell ref="J172:K172"/>
  </mergeCells>
  <printOptions horizontalCentered="1"/>
  <pageMargins left="0.5902777777777778" right="0.19652777777777777" top="0.7875000000000001" bottom="0.5902777777777777" header="0.5513888888888889" footer="0.5118055555555555"/>
  <pageSetup horizontalDpi="300" verticalDpi="300" orientation="portrait" paperSize="9" scale="85"/>
  <headerFooter alignWithMargins="0">
    <oddHeader>&amp;L&amp;"Times New Roman,Negrito"MT - GEIPOT
Departamento de Transportes Urbanos - DEURB
&amp;"Times New Roman,Normal"Planilha de Cálculo Tarifário para Transporte Urbano</oddHeader>
    <oddFooter>&amp;R&amp;"Small Fonts,Itálico"&amp;6&amp;F
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showRowColHeaders="0" zoomScale="75" zoomScaleNormal="75" workbookViewId="0" topLeftCell="B1">
      <selection activeCell="D4" sqref="D4"/>
    </sheetView>
  </sheetViews>
  <sheetFormatPr defaultColWidth="11.421875" defaultRowHeight="12.75"/>
  <sheetData>
    <row r="1" spans="1:5" ht="12.75">
      <c r="A1" t="s">
        <v>375</v>
      </c>
      <c r="B1" t="s">
        <v>376</v>
      </c>
      <c r="C1" t="s">
        <v>377</v>
      </c>
      <c r="D1" t="s">
        <v>378</v>
      </c>
      <c r="E1" t="s">
        <v>379</v>
      </c>
    </row>
    <row r="2" spans="1:5" ht="12.75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>NA()</f>
        <v>#N/A</v>
      </c>
    </row>
    <row r="3" spans="1:5" ht="12.75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>NA()</f>
        <v>#N/A</v>
      </c>
    </row>
    <row r="4" spans="1:4" ht="12.75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</row>
  </sheetData>
  <sheetProtection password="CA5F" sheet="1"/>
  <printOptions gridLines="1"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2.00390625" style="1" customWidth="1"/>
    <col min="3" max="11" width="9.7109375" style="1" customWidth="1"/>
    <col min="12" max="12" width="12.8515625" style="1" customWidth="1"/>
    <col min="13" max="13" width="1.8515625" style="1" customWidth="1"/>
    <col min="14" max="16384" width="11.421875" style="1" customWidth="1"/>
  </cols>
  <sheetData>
    <row r="2" spans="2:13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5.75" customHeight="1">
      <c r="B3" s="5"/>
      <c r="C3" s="26" t="s">
        <v>9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28" t="s">
        <v>10</v>
      </c>
    </row>
    <row r="5" ht="6" customHeight="1"/>
    <row r="6" spans="2:13" ht="3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12.75" customHeight="1">
      <c r="B7" s="5"/>
      <c r="C7" s="29" t="s">
        <v>11</v>
      </c>
      <c r="D7" s="30"/>
      <c r="E7" s="30"/>
      <c r="F7" s="30"/>
      <c r="G7" s="30"/>
      <c r="H7" s="30"/>
      <c r="I7" s="30"/>
      <c r="J7" s="30"/>
      <c r="K7" s="30"/>
      <c r="L7" s="30"/>
      <c r="M7" s="27"/>
    </row>
    <row r="8" spans="2:13" ht="12.75" customHeight="1">
      <c r="B8" s="5"/>
      <c r="C8" s="29" t="s">
        <v>12</v>
      </c>
      <c r="D8" s="30"/>
      <c r="E8" s="30"/>
      <c r="F8" s="30"/>
      <c r="G8" s="30"/>
      <c r="H8" s="30"/>
      <c r="I8" s="30"/>
      <c r="J8" s="30"/>
      <c r="K8" s="30"/>
      <c r="L8" s="30"/>
      <c r="M8" s="27"/>
    </row>
    <row r="9" spans="2:13" ht="12.75" customHeight="1">
      <c r="B9" s="5"/>
      <c r="C9" s="29" t="s">
        <v>13</v>
      </c>
      <c r="D9" s="30"/>
      <c r="E9" s="30"/>
      <c r="F9" s="30"/>
      <c r="G9" s="30"/>
      <c r="H9" s="30"/>
      <c r="I9" s="30"/>
      <c r="J9" s="30"/>
      <c r="K9" s="30"/>
      <c r="L9" s="30"/>
      <c r="M9" s="27"/>
    </row>
    <row r="10" spans="2:13" ht="12.75" customHeight="1">
      <c r="B10" s="5"/>
      <c r="C10" s="29" t="s">
        <v>14</v>
      </c>
      <c r="D10" s="30"/>
      <c r="E10" s="30"/>
      <c r="F10" s="30"/>
      <c r="G10" s="30"/>
      <c r="H10" s="30"/>
      <c r="I10" s="30"/>
      <c r="J10" s="30"/>
      <c r="K10" s="30"/>
      <c r="L10" s="30"/>
      <c r="M10" s="27"/>
    </row>
    <row r="11" spans="2:13" ht="12.75" customHeight="1">
      <c r="B11" s="5"/>
      <c r="C11" s="29" t="s">
        <v>15</v>
      </c>
      <c r="D11" s="30"/>
      <c r="E11" s="30"/>
      <c r="F11" s="30"/>
      <c r="G11" s="30"/>
      <c r="H11" s="30"/>
      <c r="I11" s="30"/>
      <c r="J11" s="30"/>
      <c r="K11" s="30"/>
      <c r="L11" s="30"/>
      <c r="M11" s="27"/>
    </row>
    <row r="12" spans="2:13" ht="12.75" customHeight="1">
      <c r="B12" s="5"/>
      <c r="C12" s="29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27"/>
    </row>
    <row r="13" spans="2:13" ht="4.5" customHeight="1">
      <c r="B13" s="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7"/>
    </row>
    <row r="14" spans="2:13" ht="12.75" customHeight="1">
      <c r="B14" s="5"/>
      <c r="C14" s="31" t="s">
        <v>17</v>
      </c>
      <c r="D14" s="31"/>
      <c r="E14" s="31"/>
      <c r="F14" s="31"/>
      <c r="G14" s="31"/>
      <c r="H14" s="31"/>
      <c r="I14" s="31"/>
      <c r="J14" s="31"/>
      <c r="K14" s="31"/>
      <c r="L14" s="31"/>
      <c r="M14" s="27"/>
    </row>
    <row r="15" spans="2:13" ht="4.5" customHeight="1">
      <c r="B15" s="5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27"/>
    </row>
    <row r="16" spans="2:13" ht="12.75" customHeight="1">
      <c r="B16" s="5"/>
      <c r="C16" s="33" t="s">
        <v>0</v>
      </c>
      <c r="D16" s="33"/>
      <c r="E16" s="33"/>
      <c r="F16" s="33"/>
      <c r="G16" s="33"/>
      <c r="H16" s="33"/>
      <c r="I16" s="33"/>
      <c r="J16" s="33"/>
      <c r="K16" s="33"/>
      <c r="L16" s="33"/>
      <c r="M16" s="27"/>
    </row>
    <row r="17" spans="2:13" ht="12.75" customHeight="1">
      <c r="B17" s="5"/>
      <c r="C17" s="33" t="s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27"/>
    </row>
    <row r="18" spans="2:13" ht="12.75" customHeight="1">
      <c r="B18" s="5"/>
      <c r="C18" s="33" t="s">
        <v>2</v>
      </c>
      <c r="D18" s="33"/>
      <c r="E18" s="33"/>
      <c r="F18" s="33"/>
      <c r="G18" s="33"/>
      <c r="H18" s="33"/>
      <c r="I18" s="33"/>
      <c r="J18" s="33"/>
      <c r="K18" s="33"/>
      <c r="L18" s="33"/>
      <c r="M18" s="27"/>
    </row>
    <row r="19" spans="2:13" ht="12.75" customHeight="1">
      <c r="B19" s="5"/>
      <c r="C19" s="33" t="s">
        <v>18</v>
      </c>
      <c r="D19" s="33"/>
      <c r="E19" s="33"/>
      <c r="F19" s="33"/>
      <c r="G19" s="33"/>
      <c r="H19" s="33"/>
      <c r="I19" s="33"/>
      <c r="J19" s="33"/>
      <c r="K19" s="33"/>
      <c r="L19" s="33"/>
      <c r="M19" s="27"/>
    </row>
    <row r="20" spans="2:13" ht="12.75" customHeight="1">
      <c r="B20" s="5"/>
      <c r="C20" s="33" t="s">
        <v>19</v>
      </c>
      <c r="D20" s="33"/>
      <c r="E20" s="33"/>
      <c r="F20" s="33"/>
      <c r="G20" s="33"/>
      <c r="H20" s="33"/>
      <c r="I20" s="33"/>
      <c r="J20" s="33"/>
      <c r="K20" s="33"/>
      <c r="L20" s="33"/>
      <c r="M20" s="27"/>
    </row>
    <row r="21" spans="2:13" ht="12.75" customHeight="1">
      <c r="B21" s="5"/>
      <c r="C21" s="33" t="s">
        <v>20</v>
      </c>
      <c r="D21" s="33"/>
      <c r="E21" s="33"/>
      <c r="F21" s="33"/>
      <c r="G21" s="33"/>
      <c r="H21" s="33"/>
      <c r="I21" s="33"/>
      <c r="J21" s="33"/>
      <c r="K21" s="33"/>
      <c r="L21" s="33"/>
      <c r="M21" s="27"/>
    </row>
    <row r="22" spans="2:13" ht="3.75" customHeight="1">
      <c r="B22" s="10"/>
      <c r="C22" s="34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5" ht="20.25" customHeight="1"/>
  </sheetData>
  <sheetProtection password="C67C" sheet="1"/>
  <mergeCells count="7">
    <mergeCell ref="C3:L3"/>
    <mergeCell ref="C16:L16"/>
    <mergeCell ref="C17:L17"/>
    <mergeCell ref="C18:L18"/>
    <mergeCell ref="C19:L19"/>
    <mergeCell ref="C20:L20"/>
    <mergeCell ref="C21:L2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3"/>
  <sheetViews>
    <sheetView showGridLines="0" showRowColHeaders="0" workbookViewId="0" topLeftCell="A1">
      <selection activeCell="A1" sqref="A1"/>
    </sheetView>
  </sheetViews>
  <sheetFormatPr defaultColWidth="11.421875" defaultRowHeight="11.25" customHeight="1"/>
  <cols>
    <col min="1" max="1" width="5.140625" style="1" customWidth="1"/>
    <col min="2" max="2" width="1.421875" style="1" customWidth="1"/>
    <col min="3" max="11" width="9.7109375" style="1" customWidth="1"/>
    <col min="12" max="12" width="15.140625" style="1" customWidth="1"/>
    <col min="13" max="13" width="3.57421875" style="1" customWidth="1"/>
    <col min="14" max="16384" width="11.421875" style="1" customWidth="1"/>
  </cols>
  <sheetData>
    <row r="2" spans="2:13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7.25" customHeight="1">
      <c r="B3" s="5"/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28" t="s">
        <v>10</v>
      </c>
    </row>
    <row r="5" ht="6" customHeight="1"/>
    <row r="6" spans="2:13" ht="3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12.75" customHeight="1">
      <c r="B7" s="5"/>
      <c r="C7" s="35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27"/>
    </row>
    <row r="8" spans="2:13" ht="12.75" customHeight="1">
      <c r="B8" s="5"/>
      <c r="C8" s="35" t="s">
        <v>23</v>
      </c>
      <c r="D8" s="30"/>
      <c r="E8" s="30"/>
      <c r="F8" s="30"/>
      <c r="G8" s="30"/>
      <c r="H8" s="30"/>
      <c r="I8" s="30"/>
      <c r="J8" s="30"/>
      <c r="K8" s="30"/>
      <c r="L8" s="30"/>
      <c r="M8" s="27"/>
    </row>
    <row r="9" spans="2:13" ht="12.75" customHeight="1">
      <c r="B9" s="5"/>
      <c r="C9" s="35" t="s">
        <v>24</v>
      </c>
      <c r="D9" s="30"/>
      <c r="E9" s="30"/>
      <c r="F9" s="30"/>
      <c r="G9" s="30"/>
      <c r="H9" s="30"/>
      <c r="I9" s="30"/>
      <c r="J9" s="30"/>
      <c r="K9" s="30"/>
      <c r="L9" s="30"/>
      <c r="M9" s="27"/>
    </row>
    <row r="10" spans="2:13" ht="12.75" customHeight="1">
      <c r="B10" s="5"/>
      <c r="C10" s="35" t="s">
        <v>25</v>
      </c>
      <c r="D10" s="30"/>
      <c r="E10" s="30"/>
      <c r="F10" s="30"/>
      <c r="G10" s="30"/>
      <c r="H10" s="30"/>
      <c r="I10" s="30"/>
      <c r="J10" s="30"/>
      <c r="K10" s="30"/>
      <c r="L10" s="30"/>
      <c r="M10" s="27"/>
    </row>
    <row r="11" spans="2:13" ht="12.75" customHeight="1">
      <c r="B11" s="5"/>
      <c r="C11" s="36" t="s">
        <v>26</v>
      </c>
      <c r="D11" s="30"/>
      <c r="E11" s="30"/>
      <c r="F11" s="30"/>
      <c r="G11" s="30"/>
      <c r="H11" s="30"/>
      <c r="I11" s="30"/>
      <c r="J11" s="30"/>
      <c r="K11" s="30"/>
      <c r="L11" s="30"/>
      <c r="M11" s="27"/>
    </row>
    <row r="12" spans="2:13" ht="12.75" customHeight="1">
      <c r="B12" s="5"/>
      <c r="C12" s="35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27"/>
    </row>
    <row r="13" spans="2:13" ht="12.75" customHeight="1">
      <c r="B13" s="5"/>
      <c r="C13" s="35" t="s">
        <v>28</v>
      </c>
      <c r="D13" s="31"/>
      <c r="E13" s="31"/>
      <c r="F13" s="31"/>
      <c r="G13" s="31"/>
      <c r="H13" s="31"/>
      <c r="I13" s="31"/>
      <c r="J13" s="31"/>
      <c r="K13" s="31"/>
      <c r="L13" s="31"/>
      <c r="M13" s="27"/>
    </row>
    <row r="14" spans="2:13" ht="12.75" customHeight="1">
      <c r="B14" s="5"/>
      <c r="C14" s="35" t="s">
        <v>29</v>
      </c>
      <c r="D14" s="31"/>
      <c r="E14" s="31"/>
      <c r="F14" s="31"/>
      <c r="G14" s="31"/>
      <c r="H14" s="31"/>
      <c r="I14" s="31"/>
      <c r="J14" s="31"/>
      <c r="K14" s="31"/>
      <c r="L14" s="31"/>
      <c r="M14" s="27"/>
    </row>
    <row r="15" spans="2:13" ht="12.75" customHeight="1">
      <c r="B15" s="5"/>
      <c r="C15" s="35" t="s">
        <v>30</v>
      </c>
      <c r="D15" s="31"/>
      <c r="E15" s="31"/>
      <c r="F15" s="31"/>
      <c r="G15" s="31"/>
      <c r="H15" s="31"/>
      <c r="I15" s="31"/>
      <c r="J15" s="31"/>
      <c r="K15" s="31"/>
      <c r="L15" s="31"/>
      <c r="M15" s="27"/>
    </row>
    <row r="16" spans="2:13" ht="12.75" customHeight="1">
      <c r="B16" s="5"/>
      <c r="C16" s="35" t="s">
        <v>31</v>
      </c>
      <c r="D16" s="37"/>
      <c r="E16" s="37"/>
      <c r="F16" s="37"/>
      <c r="G16" s="37"/>
      <c r="H16" s="37"/>
      <c r="I16" s="37"/>
      <c r="J16" s="37"/>
      <c r="K16" s="37"/>
      <c r="L16" s="37"/>
      <c r="M16" s="27"/>
    </row>
    <row r="17" spans="2:13" ht="12.75" customHeight="1">
      <c r="B17" s="5"/>
      <c r="C17" s="35" t="s">
        <v>32</v>
      </c>
      <c r="D17" s="37"/>
      <c r="E17" s="37"/>
      <c r="F17" s="37"/>
      <c r="G17" s="37"/>
      <c r="H17" s="37"/>
      <c r="I17" s="37"/>
      <c r="J17" s="37"/>
      <c r="K17" s="37"/>
      <c r="L17" s="37"/>
      <c r="M17" s="27"/>
    </row>
    <row r="18" spans="2:13" ht="12.75" customHeight="1">
      <c r="B18" s="5"/>
      <c r="C18" s="35" t="s">
        <v>33</v>
      </c>
      <c r="D18" s="37"/>
      <c r="E18" s="37"/>
      <c r="F18" s="37"/>
      <c r="G18" s="37"/>
      <c r="H18" s="37"/>
      <c r="I18" s="37"/>
      <c r="J18" s="37"/>
      <c r="K18" s="37"/>
      <c r="L18" s="37"/>
      <c r="M18" s="27"/>
    </row>
    <row r="19" spans="2:13" ht="12.75" customHeight="1">
      <c r="B19" s="5"/>
      <c r="C19" s="35" t="s">
        <v>34</v>
      </c>
      <c r="D19" s="37"/>
      <c r="E19" s="37"/>
      <c r="F19" s="37"/>
      <c r="G19" s="37"/>
      <c r="H19" s="37"/>
      <c r="I19" s="37"/>
      <c r="J19" s="37"/>
      <c r="K19" s="37"/>
      <c r="L19" s="37"/>
      <c r="M19" s="27"/>
    </row>
    <row r="20" spans="2:13" ht="12.75" customHeight="1">
      <c r="B20" s="5"/>
      <c r="C20" s="35" t="s">
        <v>35</v>
      </c>
      <c r="D20" s="37"/>
      <c r="E20" s="37"/>
      <c r="F20" s="37"/>
      <c r="G20" s="37"/>
      <c r="H20" s="37"/>
      <c r="I20" s="37"/>
      <c r="J20" s="37"/>
      <c r="K20" s="37"/>
      <c r="L20" s="37"/>
      <c r="M20" s="27"/>
    </row>
    <row r="21" spans="2:13" ht="12.75" customHeight="1">
      <c r="B21" s="5"/>
      <c r="C21" s="35" t="s">
        <v>36</v>
      </c>
      <c r="D21" s="37"/>
      <c r="E21" s="37"/>
      <c r="F21" s="37"/>
      <c r="G21" s="37"/>
      <c r="H21" s="37"/>
      <c r="I21" s="37"/>
      <c r="J21" s="37"/>
      <c r="K21" s="37"/>
      <c r="L21" s="37"/>
      <c r="M21" s="27"/>
    </row>
    <row r="22" spans="2:13" ht="12.75" customHeight="1">
      <c r="B22" s="5"/>
      <c r="C22" s="35" t="s">
        <v>37</v>
      </c>
      <c r="D22" s="37"/>
      <c r="E22" s="37"/>
      <c r="F22" s="37"/>
      <c r="G22" s="37"/>
      <c r="H22" s="37"/>
      <c r="I22" s="37"/>
      <c r="J22" s="37"/>
      <c r="K22" s="37"/>
      <c r="L22" s="37"/>
      <c r="M22" s="27"/>
    </row>
    <row r="23" spans="2:13" ht="3.75" customHeight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</sheetData>
  <sheetProtection password="CA5F" sheet="1"/>
  <mergeCells count="1">
    <mergeCell ref="C3:L3"/>
  </mergeCells>
  <printOptions horizontalCentered="1"/>
  <pageMargins left="0.7875" right="0.7875" top="1.5750000000000002" bottom="0.9840277777777777" header="0.5118055555555555" footer="0.5118055555555555"/>
  <pageSetup horizontalDpi="300" verticalDpi="300" orientation="landscape" paperSize="9"/>
  <headerFooter alignWithMargins="0">
    <oddHeader>&amp;L&amp;"Times New Roman,Negrito"MT - SEDES
Departamento de Desenvolvimento Institucional e Tecnológico - DDIT
&amp;"Times New Roman,Normal"Planilha de Cálculo Tarifário para Transporte Urbano</oddHeader>
    <oddFooter>&amp;R&amp;"Small Fonts,Regular"&amp;6&amp;D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showGridLines="0" showRowColHeaders="0" workbookViewId="0" topLeftCell="A1">
      <selection activeCell="D6" sqref="D6"/>
    </sheetView>
  </sheetViews>
  <sheetFormatPr defaultColWidth="11.421875" defaultRowHeight="12.75"/>
  <cols>
    <col min="1" max="1" width="5.8515625" style="1" customWidth="1"/>
    <col min="2" max="2" width="0.85546875" style="1" customWidth="1"/>
    <col min="3" max="3" width="9.7109375" style="1" customWidth="1"/>
    <col min="4" max="4" width="13.00390625" style="1" customWidth="1"/>
    <col min="5" max="5" width="2.57421875" style="1" customWidth="1"/>
    <col min="6" max="6" width="2.7109375" style="1" customWidth="1"/>
    <col min="7" max="7" width="16.57421875" style="1" customWidth="1"/>
    <col min="8" max="11" width="9.7109375" style="1" customWidth="1"/>
    <col min="12" max="12" width="10.140625" style="1" customWidth="1"/>
    <col min="13" max="13" width="13.7109375" style="1" customWidth="1"/>
    <col min="14" max="16384" width="11.421875" style="1" customWidth="1"/>
  </cols>
  <sheetData>
    <row r="2" spans="2:13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3.5" customHeight="1">
      <c r="B3" s="5"/>
      <c r="C3" s="26" t="s">
        <v>38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28" t="s">
        <v>10</v>
      </c>
    </row>
    <row r="5" ht="6" customHeight="1"/>
    <row r="6" ht="11.25" customHeight="1"/>
    <row r="7" spans="6:7" ht="20.25" customHeight="1">
      <c r="F7" s="38"/>
      <c r="G7" s="39" t="s">
        <v>39</v>
      </c>
    </row>
    <row r="8" ht="12" customHeight="1">
      <c r="F8" s="40"/>
    </row>
    <row r="9" spans="6:7" ht="20.25" customHeight="1">
      <c r="F9" s="38"/>
      <c r="G9" s="39" t="s">
        <v>40</v>
      </c>
    </row>
    <row r="10" spans="6:7" ht="12" customHeight="1">
      <c r="F10" s="38"/>
      <c r="G10" s="39"/>
    </row>
    <row r="11" spans="6:7" ht="20.25" customHeight="1">
      <c r="F11" s="38"/>
      <c r="G11" s="39" t="s">
        <v>41</v>
      </c>
    </row>
    <row r="12" ht="12" customHeight="1">
      <c r="F12" s="40"/>
    </row>
    <row r="13" spans="6:7" ht="12" customHeight="1">
      <c r="F13" s="41"/>
      <c r="G13" s="42" t="s">
        <v>42</v>
      </c>
    </row>
    <row r="14" spans="6:7" ht="12" customHeight="1">
      <c r="F14" s="41"/>
      <c r="G14" s="42" t="s">
        <v>43</v>
      </c>
    </row>
    <row r="15" spans="6:7" ht="12" customHeight="1">
      <c r="F15" s="41"/>
      <c r="G15" s="42"/>
    </row>
    <row r="16" spans="6:7" ht="20.25" customHeight="1">
      <c r="F16" s="38"/>
      <c r="G16" s="39" t="s">
        <v>44</v>
      </c>
    </row>
    <row r="17" spans="6:7" ht="12" customHeight="1">
      <c r="F17" s="43"/>
      <c r="G17" s="44"/>
    </row>
    <row r="18" spans="6:7" ht="20.25" customHeight="1">
      <c r="F18" s="38"/>
      <c r="G18" s="39" t="s">
        <v>45</v>
      </c>
    </row>
    <row r="19" spans="6:7" ht="12" customHeight="1">
      <c r="F19" s="43"/>
      <c r="G19" s="44"/>
    </row>
    <row r="20" spans="6:7" ht="20.25" customHeight="1">
      <c r="F20" s="38"/>
      <c r="G20" s="39" t="s">
        <v>46</v>
      </c>
    </row>
    <row r="21" spans="6:7" ht="12" customHeight="1">
      <c r="F21" s="43"/>
      <c r="G21" s="44"/>
    </row>
    <row r="22" spans="6:7" ht="20.25" customHeight="1">
      <c r="F22" s="38"/>
      <c r="G22" s="39" t="s">
        <v>47</v>
      </c>
    </row>
    <row r="23" ht="12" customHeight="1"/>
  </sheetData>
  <sheetProtection password="CA5F" sheet="1"/>
  <mergeCells count="1">
    <mergeCell ref="C3:L3"/>
  </mergeCells>
  <printOptions/>
  <pageMargins left="0.7875" right="0.7875" top="0.9847222222222223" bottom="0.9840277777777777" header="0.49236111111111114" footer="0.5118055555555555"/>
  <pageSetup fitToHeight="1" fitToWidth="1" horizontalDpi="300" verticalDpi="300" orientation="landscape" paperSize="9"/>
  <headerFooter alignWithMargins="0">
    <oddHeader>&amp;C&amp;A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showRowColHeaders="0" workbookViewId="0" topLeftCell="A1">
      <selection activeCell="C8" sqref="C8"/>
    </sheetView>
  </sheetViews>
  <sheetFormatPr defaultColWidth="11.421875" defaultRowHeight="12.75" customHeight="1"/>
  <cols>
    <col min="1" max="1" width="3.8515625" style="1" customWidth="1"/>
    <col min="2" max="2" width="0.85546875" style="1" customWidth="1"/>
    <col min="3" max="3" width="27.7109375" style="1" customWidth="1"/>
    <col min="4" max="4" width="1.421875" style="1" customWidth="1"/>
    <col min="5" max="5" width="10.140625" style="1" customWidth="1"/>
    <col min="6" max="6" width="10.8515625" style="1" customWidth="1"/>
    <col min="7" max="7" width="2.57421875" style="1" customWidth="1"/>
    <col min="8" max="11" width="9.7109375" style="1" customWidth="1"/>
    <col min="12" max="12" width="13.00390625" style="1" customWidth="1"/>
    <col min="13" max="13" width="1.28515625" style="1" customWidth="1"/>
    <col min="14" max="16384" width="11.421875" style="1" customWidth="1"/>
  </cols>
  <sheetData>
    <row r="1" ht="13.5" customHeight="1"/>
    <row r="2" spans="2:13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3.5" customHeight="1">
      <c r="B3" s="5"/>
      <c r="C3" s="26" t="s">
        <v>48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28" t="s">
        <v>10</v>
      </c>
    </row>
    <row r="5" ht="13.5" customHeight="1"/>
    <row r="6" spans="3:5" ht="18" customHeight="1">
      <c r="C6" s="45" t="s">
        <v>49</v>
      </c>
      <c r="E6" s="42" t="s">
        <v>50</v>
      </c>
    </row>
    <row r="7" spans="3:5" ht="18" customHeight="1">
      <c r="C7" s="46" t="s">
        <v>51</v>
      </c>
      <c r="E7" s="42" t="s">
        <v>52</v>
      </c>
    </row>
    <row r="8" spans="3:5" ht="18" customHeight="1">
      <c r="C8" s="47" t="s">
        <v>53</v>
      </c>
      <c r="E8" s="42" t="s">
        <v>54</v>
      </c>
    </row>
    <row r="10" spans="3:12" ht="18" customHeight="1">
      <c r="C10" s="48" t="s">
        <v>55</v>
      </c>
      <c r="D10" s="48"/>
      <c r="E10" s="48"/>
      <c r="F10" s="48"/>
      <c r="G10" s="48"/>
      <c r="H10" s="48"/>
      <c r="I10" s="48"/>
      <c r="J10" s="48"/>
      <c r="K10" s="48"/>
      <c r="L10" s="48"/>
    </row>
    <row r="12" ht="20.25" customHeight="1">
      <c r="H12" s="39" t="s">
        <v>56</v>
      </c>
    </row>
    <row r="13" ht="12.75" customHeight="1">
      <c r="H13" s="44"/>
    </row>
    <row r="14" ht="20.25" customHeight="1">
      <c r="H14" s="39" t="s">
        <v>57</v>
      </c>
    </row>
    <row r="15" ht="12.75" customHeight="1">
      <c r="H15" s="44"/>
    </row>
    <row r="16" ht="20.25" customHeight="1">
      <c r="H16" s="39" t="s">
        <v>58</v>
      </c>
    </row>
    <row r="17" ht="12.75" customHeight="1">
      <c r="H17" s="44"/>
    </row>
    <row r="18" ht="20.25" customHeight="1">
      <c r="H18" s="39" t="s">
        <v>59</v>
      </c>
    </row>
  </sheetData>
  <sheetProtection password="CA5F" sheet="1"/>
  <mergeCells count="2">
    <mergeCell ref="C3:L3"/>
    <mergeCell ref="C10:L10"/>
  </mergeCells>
  <printOptions/>
  <pageMargins left="0.7875" right="0.7875" top="0.9847222222222223" bottom="0.9840277777777777" header="0.49236111111111114" footer="0.5118055555555555"/>
  <pageSetup fitToHeight="1" fitToWidth="1" horizontalDpi="300" verticalDpi="300" orientation="landscape" paperSize="9"/>
  <headerFooter alignWithMargins="0">
    <oddHeader>&amp;C&amp;A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showGridLines="0" showRowColHeaders="0" workbookViewId="0" topLeftCell="A1">
      <selection activeCell="B20" sqref="B20"/>
    </sheetView>
  </sheetViews>
  <sheetFormatPr defaultColWidth="11.421875" defaultRowHeight="10.5" customHeight="1"/>
  <cols>
    <col min="1" max="1" width="2.57421875" style="1" customWidth="1"/>
    <col min="2" max="2" width="14.7109375" style="1" customWidth="1"/>
    <col min="3" max="3" width="3.57421875" style="1" customWidth="1"/>
    <col min="4" max="4" width="5.7109375" style="1" customWidth="1"/>
    <col min="5" max="6" width="9.7109375" style="1" customWidth="1"/>
    <col min="7" max="7" width="11.57421875" style="1" customWidth="1"/>
    <col min="8" max="8" width="14.7109375" style="1" customWidth="1"/>
    <col min="9" max="9" width="3.57421875" style="1" customWidth="1"/>
    <col min="10" max="10" width="10.140625" style="1" customWidth="1"/>
    <col min="11" max="11" width="12.8515625" style="1" customWidth="1"/>
    <col min="12" max="12" width="14.7109375" style="1" customWidth="1"/>
    <col min="13" max="16384" width="11.421875" style="1" customWidth="1"/>
  </cols>
  <sheetData>
    <row r="2" spans="2:12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3.5" customHeight="1">
      <c r="B3" s="49" t="s">
        <v>60</v>
      </c>
      <c r="C3" s="49"/>
      <c r="D3" s="49"/>
      <c r="E3" s="49"/>
      <c r="F3" s="49"/>
      <c r="G3" s="49"/>
      <c r="H3" s="49"/>
      <c r="I3" s="49"/>
      <c r="J3" s="49"/>
      <c r="K3" s="49"/>
      <c r="L3" s="27"/>
    </row>
    <row r="4" spans="2:12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28" t="s">
        <v>10</v>
      </c>
    </row>
    <row r="5" ht="14.25" customHeight="1">
      <c r="D5" s="50"/>
    </row>
    <row r="6" spans="2:11" ht="12.75" customHeight="1">
      <c r="B6" s="51">
        <v>2.2164</v>
      </c>
      <c r="C6" s="40" t="s">
        <v>61</v>
      </c>
      <c r="D6" s="40"/>
      <c r="H6" s="52">
        <v>2100</v>
      </c>
      <c r="I6" s="40" t="s">
        <v>62</v>
      </c>
      <c r="J6" s="40"/>
      <c r="K6" s="50"/>
    </row>
    <row r="7" spans="2:11" ht="12.75" customHeight="1">
      <c r="B7" s="53">
        <v>1420</v>
      </c>
      <c r="C7" s="40" t="s">
        <v>63</v>
      </c>
      <c r="D7" s="40"/>
      <c r="H7" s="53">
        <v>119279</v>
      </c>
      <c r="I7" s="40" t="s">
        <v>64</v>
      </c>
      <c r="J7" s="40"/>
      <c r="K7" s="50"/>
    </row>
    <row r="8" spans="2:11" ht="12.75" customHeight="1">
      <c r="B8" s="53">
        <v>1420</v>
      </c>
      <c r="C8" s="40" t="s">
        <v>65</v>
      </c>
      <c r="D8" s="40"/>
      <c r="H8" s="53">
        <v>178733</v>
      </c>
      <c r="I8" s="40" t="s">
        <v>66</v>
      </c>
      <c r="J8" s="40"/>
      <c r="K8" s="50"/>
    </row>
    <row r="9" spans="2:11" ht="12.75" customHeight="1">
      <c r="B9" s="53">
        <v>1420</v>
      </c>
      <c r="C9" s="40" t="s">
        <v>67</v>
      </c>
      <c r="D9" s="40"/>
      <c r="H9" s="53">
        <v>36497.25</v>
      </c>
      <c r="I9" s="40" t="s">
        <v>68</v>
      </c>
      <c r="J9" s="40"/>
      <c r="K9" s="50"/>
    </row>
    <row r="10" spans="2:11" ht="12.75" customHeight="1">
      <c r="B10" s="53">
        <v>360</v>
      </c>
      <c r="C10" s="40" t="s">
        <v>69</v>
      </c>
      <c r="D10" s="40"/>
      <c r="H10" s="53">
        <v>189000</v>
      </c>
      <c r="I10" s="40" t="s">
        <v>70</v>
      </c>
      <c r="J10" s="40"/>
      <c r="K10" s="50"/>
    </row>
    <row r="11" spans="2:11" ht="12.75" customHeight="1">
      <c r="B11" s="53">
        <v>360</v>
      </c>
      <c r="C11" s="40" t="s">
        <v>71</v>
      </c>
      <c r="D11" s="40"/>
      <c r="H11" s="53">
        <v>24261.86</v>
      </c>
      <c r="I11" s="40" t="s">
        <v>72</v>
      </c>
      <c r="J11" s="40"/>
      <c r="K11" s="50"/>
    </row>
    <row r="12" spans="2:11" ht="12.75" customHeight="1">
      <c r="B12" s="53">
        <v>360</v>
      </c>
      <c r="C12" s="40" t="s">
        <v>73</v>
      </c>
      <c r="D12" s="40"/>
      <c r="H12" s="53">
        <v>396.49</v>
      </c>
      <c r="I12" s="40" t="s">
        <v>74</v>
      </c>
      <c r="J12" s="40"/>
      <c r="K12" s="50"/>
    </row>
    <row r="13" spans="2:11" ht="12.75" customHeight="1">
      <c r="B13" s="53">
        <v>0</v>
      </c>
      <c r="C13" s="40" t="s">
        <v>75</v>
      </c>
      <c r="D13" s="40"/>
      <c r="H13" s="54">
        <v>69622.36</v>
      </c>
      <c r="I13" s="40" t="s">
        <v>76</v>
      </c>
      <c r="J13" s="40"/>
      <c r="K13" s="50"/>
    </row>
    <row r="14" spans="2:11" ht="12.75" customHeight="1">
      <c r="B14" s="53">
        <v>0</v>
      </c>
      <c r="C14" s="40" t="s">
        <v>77</v>
      </c>
      <c r="D14" s="40"/>
      <c r="J14" s="50"/>
      <c r="K14" s="50"/>
    </row>
    <row r="15" spans="2:11" ht="15" customHeight="1">
      <c r="B15" s="53">
        <v>0</v>
      </c>
      <c r="C15" s="40" t="s">
        <v>78</v>
      </c>
      <c r="D15" s="40"/>
      <c r="I15" s="55" t="s">
        <v>79</v>
      </c>
      <c r="J15" s="40" t="s">
        <v>80</v>
      </c>
      <c r="K15" s="50"/>
    </row>
    <row r="16" spans="2:11" ht="12.75" customHeight="1">
      <c r="B16" s="53">
        <v>0</v>
      </c>
      <c r="C16" s="40" t="s">
        <v>81</v>
      </c>
      <c r="D16" s="40"/>
      <c r="J16" s="50"/>
      <c r="K16" s="50"/>
    </row>
    <row r="17" spans="2:12" ht="12.75" customHeight="1">
      <c r="B17" s="53">
        <v>0</v>
      </c>
      <c r="C17" s="40" t="s">
        <v>82</v>
      </c>
      <c r="D17" s="40"/>
      <c r="H17"/>
      <c r="I17"/>
      <c r="J17"/>
      <c r="K17"/>
      <c r="L17"/>
    </row>
    <row r="18" spans="2:12" ht="12.75" customHeight="1">
      <c r="B18" s="53">
        <v>0</v>
      </c>
      <c r="C18" s="40" t="s">
        <v>83</v>
      </c>
      <c r="D18" s="40"/>
      <c r="H18"/>
      <c r="I18"/>
      <c r="J18"/>
      <c r="K18"/>
      <c r="L18"/>
    </row>
    <row r="19" spans="2:12" ht="12.75" customHeight="1">
      <c r="B19" s="53">
        <v>170405</v>
      </c>
      <c r="C19" s="40" t="s">
        <v>84</v>
      </c>
      <c r="D19" s="40"/>
      <c r="H19"/>
      <c r="I19"/>
      <c r="J19"/>
      <c r="K19"/>
      <c r="L19"/>
    </row>
    <row r="20" spans="2:12" ht="12.75" customHeight="1">
      <c r="B20" s="56">
        <v>178388</v>
      </c>
      <c r="C20" s="40" t="s">
        <v>85</v>
      </c>
      <c r="D20" s="40"/>
      <c r="H20"/>
      <c r="I20"/>
      <c r="J20"/>
      <c r="K20"/>
      <c r="L20"/>
    </row>
    <row r="21" spans="2:12" ht="12.75" customHeight="1">
      <c r="B21" s="53">
        <v>253257</v>
      </c>
      <c r="C21" s="40" t="s">
        <v>86</v>
      </c>
      <c r="D21" s="40"/>
      <c r="H21"/>
      <c r="I21"/>
      <c r="J21"/>
      <c r="K21"/>
      <c r="L21"/>
    </row>
    <row r="22" spans="2:4" ht="12.75" customHeight="1">
      <c r="B22" s="53">
        <v>127600</v>
      </c>
      <c r="C22" s="40" t="s">
        <v>87</v>
      </c>
      <c r="D22" s="40"/>
    </row>
    <row r="23" spans="2:4" ht="12.75" customHeight="1">
      <c r="B23" s="53">
        <v>132500</v>
      </c>
      <c r="C23" s="40" t="s">
        <v>88</v>
      </c>
      <c r="D23" s="40"/>
    </row>
    <row r="24" spans="2:4" ht="12.75" customHeight="1">
      <c r="B24" s="54">
        <v>226000</v>
      </c>
      <c r="C24" s="40" t="s">
        <v>89</v>
      </c>
      <c r="D24" s="40"/>
    </row>
  </sheetData>
  <sheetProtection password="CA5F" sheet="1"/>
  <mergeCells count="1">
    <mergeCell ref="B3:K3"/>
  </mergeCells>
  <printOptions/>
  <pageMargins left="0.7875" right="0.7875" top="0.9847222222222223" bottom="0.9840277777777777" header="0.49236111111111114" footer="0.5118055555555555"/>
  <pageSetup fitToHeight="1" fitToWidth="1" horizontalDpi="300" verticalDpi="300" orientation="landscape" paperSize="9"/>
  <headerFooter alignWithMargins="0">
    <oddHeader>&amp;C&amp;A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RowColHeaders="0" workbookViewId="0" topLeftCell="A1">
      <selection activeCell="T6" sqref="T6"/>
    </sheetView>
  </sheetViews>
  <sheetFormatPr defaultColWidth="11.421875" defaultRowHeight="12.75"/>
  <cols>
    <col min="1" max="1" width="1.8515625" style="1" customWidth="1"/>
    <col min="2" max="2" width="0.85546875" style="1" customWidth="1"/>
    <col min="3" max="3" width="5.28125" style="1" customWidth="1"/>
    <col min="4" max="5" width="9.28125" style="1" customWidth="1"/>
    <col min="6" max="6" width="0.85546875" style="1" customWidth="1"/>
    <col min="7" max="8" width="9.28125" style="1" customWidth="1"/>
    <col min="9" max="9" width="0.85546875" style="1" customWidth="1"/>
    <col min="10" max="11" width="9.28125" style="1" customWidth="1"/>
    <col min="12" max="12" width="0.85546875" style="1" customWidth="1"/>
    <col min="13" max="13" width="14.421875" style="1" customWidth="1"/>
    <col min="14" max="14" width="6.421875" style="1" customWidth="1"/>
    <col min="15" max="15" width="9.421875" style="1" customWidth="1"/>
    <col min="16" max="16" width="7.140625" style="1" customWidth="1"/>
    <col min="17" max="17" width="9.57421875" style="1" customWidth="1"/>
    <col min="18" max="16384" width="11.421875" style="1" customWidth="1"/>
  </cols>
  <sheetData>
    <row r="1" ht="13.5">
      <c r="Q1" s="57"/>
    </row>
    <row r="2" spans="2:17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3.5" customHeight="1">
      <c r="B3" s="58"/>
      <c r="C3" s="13" t="s">
        <v>90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ht="9.75" customHeight="1">
      <c r="Q5" s="57"/>
    </row>
    <row r="6" spans="3:11" ht="12.75" customHeight="1">
      <c r="C6" s="59" t="s">
        <v>91</v>
      </c>
      <c r="D6" s="60" t="s">
        <v>92</v>
      </c>
      <c r="E6" s="60"/>
      <c r="G6" s="60" t="s">
        <v>93</v>
      </c>
      <c r="H6" s="60"/>
      <c r="J6" s="60" t="s">
        <v>94</v>
      </c>
      <c r="K6" s="60"/>
    </row>
    <row r="7" spans="1:16" ht="12.75" customHeight="1">
      <c r="A7" s="50"/>
      <c r="B7" s="50"/>
      <c r="C7" s="61" t="s">
        <v>95</v>
      </c>
      <c r="D7" s="60" t="s">
        <v>96</v>
      </c>
      <c r="E7" s="62" t="s">
        <v>97</v>
      </c>
      <c r="F7" s="50"/>
      <c r="G7" s="60" t="s">
        <v>96</v>
      </c>
      <c r="H7" s="62" t="s">
        <v>97</v>
      </c>
      <c r="I7" s="50"/>
      <c r="J7" s="60" t="s">
        <v>96</v>
      </c>
      <c r="K7" s="60" t="s">
        <v>97</v>
      </c>
      <c r="N7" s="62"/>
      <c r="O7" s="50"/>
      <c r="P7" s="50"/>
    </row>
    <row r="8" spans="3:17" ht="12.75" customHeight="1">
      <c r="C8" s="63" t="s">
        <v>98</v>
      </c>
      <c r="D8" s="64"/>
      <c r="E8" s="65"/>
      <c r="G8" s="64">
        <v>19</v>
      </c>
      <c r="H8" s="65">
        <v>19</v>
      </c>
      <c r="J8" s="64"/>
      <c r="K8" s="65"/>
      <c r="M8" s="66">
        <v>21</v>
      </c>
      <c r="N8" s="40" t="s">
        <v>99</v>
      </c>
      <c r="P8" s="50"/>
      <c r="Q8" s="50"/>
    </row>
    <row r="9" spans="3:17" ht="12.75" customHeight="1">
      <c r="C9" s="63" t="s">
        <v>100</v>
      </c>
      <c r="D9" s="67">
        <v>0</v>
      </c>
      <c r="E9" s="68">
        <v>0</v>
      </c>
      <c r="G9" s="67">
        <v>8</v>
      </c>
      <c r="H9" s="68">
        <v>8</v>
      </c>
      <c r="J9" s="67"/>
      <c r="K9" s="68"/>
      <c r="M9" s="69">
        <v>509154</v>
      </c>
      <c r="N9" s="40" t="s">
        <v>101</v>
      </c>
      <c r="P9" s="50"/>
      <c r="Q9" s="50"/>
    </row>
    <row r="10" spans="3:17" ht="14.25">
      <c r="C10" s="63" t="s">
        <v>102</v>
      </c>
      <c r="D10" s="67">
        <v>2</v>
      </c>
      <c r="E10" s="68">
        <v>2</v>
      </c>
      <c r="G10" s="67">
        <v>3</v>
      </c>
      <c r="H10" s="68">
        <v>3</v>
      </c>
      <c r="J10" s="67"/>
      <c r="K10" s="68"/>
      <c r="M10" s="70">
        <v>50</v>
      </c>
      <c r="N10" s="40" t="s">
        <v>103</v>
      </c>
      <c r="P10" s="50"/>
      <c r="Q10" s="50"/>
    </row>
    <row r="11" spans="3:17" ht="12.75" customHeight="1">
      <c r="C11" s="63" t="s">
        <v>104</v>
      </c>
      <c r="D11" s="67">
        <v>30</v>
      </c>
      <c r="E11" s="68">
        <v>30</v>
      </c>
      <c r="G11" s="67">
        <v>35</v>
      </c>
      <c r="H11" s="68">
        <v>35</v>
      </c>
      <c r="J11" s="67"/>
      <c r="K11" s="68"/>
      <c r="M11" s="69">
        <v>1906624</v>
      </c>
      <c r="N11" s="40" t="s">
        <v>105</v>
      </c>
      <c r="P11" s="50"/>
      <c r="Q11" s="50"/>
    </row>
    <row r="12" spans="3:17" ht="12.75" customHeight="1">
      <c r="C12" s="63" t="s">
        <v>106</v>
      </c>
      <c r="D12" s="67">
        <v>9</v>
      </c>
      <c r="E12" s="68">
        <v>9</v>
      </c>
      <c r="G12" s="67">
        <v>3</v>
      </c>
      <c r="H12" s="68">
        <v>3</v>
      </c>
      <c r="J12" s="67"/>
      <c r="K12" s="68"/>
      <c r="M12" s="53">
        <v>1090050</v>
      </c>
      <c r="N12" s="40" t="s">
        <v>107</v>
      </c>
      <c r="P12" s="50"/>
      <c r="Q12" s="50"/>
    </row>
    <row r="13" spans="3:14" ht="14.25">
      <c r="C13" s="63" t="s">
        <v>108</v>
      </c>
      <c r="D13" s="67">
        <v>9</v>
      </c>
      <c r="E13" s="68">
        <v>9</v>
      </c>
      <c r="G13" s="67">
        <v>6</v>
      </c>
      <c r="H13" s="68">
        <v>6</v>
      </c>
      <c r="J13" s="67">
        <v>0</v>
      </c>
      <c r="K13" s="68">
        <v>0</v>
      </c>
      <c r="M13" s="54">
        <v>0</v>
      </c>
      <c r="N13" s="40" t="s">
        <v>109</v>
      </c>
    </row>
    <row r="14" spans="3:11" ht="12.75" customHeight="1">
      <c r="C14" s="63" t="s">
        <v>110</v>
      </c>
      <c r="D14" s="67">
        <v>10</v>
      </c>
      <c r="E14" s="68">
        <v>10</v>
      </c>
      <c r="G14" s="67">
        <v>6</v>
      </c>
      <c r="H14" s="68">
        <v>6</v>
      </c>
      <c r="J14" s="67"/>
      <c r="K14" s="68"/>
    </row>
    <row r="15" spans="3:15" ht="12.75" customHeight="1">
      <c r="C15" s="63" t="s">
        <v>111</v>
      </c>
      <c r="D15" s="67">
        <v>13</v>
      </c>
      <c r="E15" s="68">
        <v>13</v>
      </c>
      <c r="G15" s="67">
        <v>7</v>
      </c>
      <c r="H15" s="68">
        <v>7</v>
      </c>
      <c r="J15" s="67"/>
      <c r="K15" s="68"/>
      <c r="M15" s="71">
        <f>(M12+M13)/E26</f>
        <v>5190.714285714285</v>
      </c>
      <c r="N15" s="62" t="s">
        <v>112</v>
      </c>
      <c r="O15" s="72">
        <f>IF(PL!J60=0,0,PL!E69)</f>
        <v>0</v>
      </c>
    </row>
    <row r="16" spans="3:15" ht="14.25">
      <c r="C16" s="63" t="s">
        <v>113</v>
      </c>
      <c r="D16" s="67">
        <v>7</v>
      </c>
      <c r="E16" s="68">
        <v>7</v>
      </c>
      <c r="G16" s="67">
        <v>7</v>
      </c>
      <c r="H16" s="68">
        <v>7</v>
      </c>
      <c r="J16" s="67"/>
      <c r="K16" s="68"/>
      <c r="M16" s="73">
        <f>(M9*(1-M10/100)+M11)/(M12+M13)</f>
        <v>1.982662263198936</v>
      </c>
      <c r="N16" s="62" t="s">
        <v>114</v>
      </c>
      <c r="O16" s="74">
        <f>IF(E67=0,0,PL!E72)</f>
        <v>0</v>
      </c>
    </row>
    <row r="17" spans="3:11" ht="14.25">
      <c r="C17" s="63" t="s">
        <v>115</v>
      </c>
      <c r="D17" s="67">
        <v>2</v>
      </c>
      <c r="E17" s="68">
        <v>2</v>
      </c>
      <c r="G17" s="67">
        <v>6</v>
      </c>
      <c r="H17" s="68">
        <v>6</v>
      </c>
      <c r="J17" s="67"/>
      <c r="K17" s="68"/>
    </row>
    <row r="18" spans="3:13" ht="12.75">
      <c r="C18" s="63" t="s">
        <v>116</v>
      </c>
      <c r="D18" s="67"/>
      <c r="E18" s="68"/>
      <c r="G18" s="67">
        <v>8</v>
      </c>
      <c r="H18" s="68">
        <v>8</v>
      </c>
      <c r="J18" s="67"/>
      <c r="K18" s="68"/>
      <c r="M18" s="17"/>
    </row>
    <row r="19" spans="3:13" ht="14.25">
      <c r="C19" s="63" t="s">
        <v>117</v>
      </c>
      <c r="D19" s="67">
        <v>1</v>
      </c>
      <c r="E19" s="68">
        <v>1</v>
      </c>
      <c r="G19" s="67">
        <v>13</v>
      </c>
      <c r="H19" s="68">
        <v>13</v>
      </c>
      <c r="J19" s="67">
        <v>1</v>
      </c>
      <c r="K19" s="68">
        <v>1</v>
      </c>
      <c r="M19" s="17"/>
    </row>
    <row r="20" spans="3:13" ht="14.25">
      <c r="C20" s="63" t="s">
        <v>118</v>
      </c>
      <c r="D20" s="75">
        <v>3</v>
      </c>
      <c r="E20" s="76">
        <v>3</v>
      </c>
      <c r="G20" s="75">
        <v>22</v>
      </c>
      <c r="H20" s="76">
        <v>22</v>
      </c>
      <c r="J20" s="75">
        <v>1</v>
      </c>
      <c r="K20" s="76">
        <v>1</v>
      </c>
      <c r="M20" s="17"/>
    </row>
    <row r="21" spans="2:13" ht="12.75" customHeight="1">
      <c r="B21"/>
      <c r="C21" s="77"/>
      <c r="D21" s="78"/>
      <c r="E21" s="78"/>
      <c r="F21" s="57"/>
      <c r="G21" s="57"/>
      <c r="H21" s="57"/>
      <c r="I21" s="57"/>
      <c r="J21" s="57"/>
      <c r="K21" s="57"/>
      <c r="M21" s="17"/>
    </row>
    <row r="22" spans="2:13" ht="12.75" customHeight="1">
      <c r="B22" s="79"/>
      <c r="C22" s="80" t="s">
        <v>119</v>
      </c>
      <c r="D22" s="81"/>
      <c r="E22" s="82">
        <f>IF(SUM(D8:D20)=SUM(E8:E20),SUM(D8:D20),(IF(SUM(D8:D20)-SUM(E8:E20)=SUM(D8:D20),SUM(D8:D20),IF(SUM(E8:E20)-SUM(D8:D20)=SUM(E8:E20),SUM(E8:E20),"Somatório das colunas não coincidente"))))</f>
        <v>86</v>
      </c>
      <c r="F22" s="83"/>
      <c r="G22" s="83"/>
      <c r="H22" s="84"/>
      <c r="M22" s="17"/>
    </row>
    <row r="23" spans="2:13" ht="12.75" customHeight="1">
      <c r="B23" s="85"/>
      <c r="C23" s="86" t="s">
        <v>120</v>
      </c>
      <c r="D23" s="57"/>
      <c r="E23" s="87">
        <f>IF(SUM(G8:G20)=SUM(H8:H20),SUM(G8:G20),(IF(SUM(G8:G20)-SUM(H8:H20)=SUM(G8:G20),SUM(G8:G20),IF(SUM(H8:H20)-SUM(G8:G20)=SUM(H8:H20),SUM(H8:H20),"Somatório das colunas não coincidente"))))</f>
        <v>143</v>
      </c>
      <c r="F23" s="88"/>
      <c r="G23" s="88"/>
      <c r="H23" s="89"/>
      <c r="M23" s="17"/>
    </row>
    <row r="24" spans="2:8" ht="12.75" customHeight="1">
      <c r="B24" s="85"/>
      <c r="C24" s="86" t="s">
        <v>121</v>
      </c>
      <c r="D24" s="57"/>
      <c r="E24" s="87">
        <f>IF(SUM(J8:J20)=SUM(K8:K20),SUM(J8:J20),(IF(SUM(J8:J20)-SUM(K8:K20)=SUM(J8:J20),SUM(J8:J20),IF(SUM(K8:K20)-SUM(J8:J20)=SUM(K8:K20),SUM(K8:K20),"Somatório das colunas não coincidente"))))</f>
        <v>2</v>
      </c>
      <c r="F24" s="88"/>
      <c r="G24" s="88"/>
      <c r="H24" s="89"/>
    </row>
    <row r="25" spans="2:8" ht="12.75">
      <c r="B25" s="79"/>
      <c r="C25" s="86" t="s">
        <v>122</v>
      </c>
      <c r="D25" s="57"/>
      <c r="E25" s="90">
        <f>SUM(E22:E24)</f>
        <v>231</v>
      </c>
      <c r="F25" s="88"/>
      <c r="G25" s="88"/>
      <c r="H25" s="89"/>
    </row>
    <row r="26" spans="2:8" ht="12.75">
      <c r="B26" s="79"/>
      <c r="C26" s="91" t="s">
        <v>123</v>
      </c>
      <c r="D26" s="92"/>
      <c r="E26" s="93">
        <f>E25-M8</f>
        <v>210</v>
      </c>
      <c r="F26" s="94"/>
      <c r="G26" s="94"/>
      <c r="H26" s="95"/>
    </row>
  </sheetData>
  <sheetProtection password="C67C" sheet="1"/>
  <mergeCells count="4">
    <mergeCell ref="C3:Q3"/>
    <mergeCell ref="D6:E6"/>
    <mergeCell ref="G6:H6"/>
    <mergeCell ref="J6:K6"/>
  </mergeCells>
  <printOptions/>
  <pageMargins left="0.7875" right="0.7875" top="0.9847222222222223" bottom="0.9840277777777777" header="0.49236111111111114" footer="0.5118055555555555"/>
  <pageSetup fitToHeight="1" fitToWidth="1" horizontalDpi="300" verticalDpi="300" orientation="landscape" paperSize="9"/>
  <headerFooter alignWithMargins="0">
    <oddHeader>&amp;C&amp;A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showGridLines="0" showRowColHeaders="0" tabSelected="1" workbookViewId="0" topLeftCell="A1">
      <selection activeCell="H20" sqref="H20"/>
    </sheetView>
  </sheetViews>
  <sheetFormatPr defaultColWidth="11.421875" defaultRowHeight="10.5" customHeight="1"/>
  <cols>
    <col min="1" max="1" width="3.7109375" style="1" customWidth="1"/>
    <col min="2" max="2" width="13.7109375" style="1" customWidth="1"/>
    <col min="3" max="4" width="5.7109375" style="1" customWidth="1"/>
    <col min="5" max="5" width="15.00390625" style="1" customWidth="1"/>
    <col min="6" max="6" width="10.140625" style="1" customWidth="1"/>
    <col min="7" max="7" width="5.7109375" style="1" customWidth="1"/>
    <col min="8" max="8" width="13.7109375" style="1" customWidth="1"/>
    <col min="9" max="9" width="8.00390625" style="1" customWidth="1"/>
    <col min="10" max="10" width="9.7109375" style="1" customWidth="1"/>
    <col min="11" max="11" width="10.7109375" style="1" customWidth="1"/>
    <col min="12" max="12" width="12.421875" style="1" customWidth="1"/>
    <col min="13" max="16384" width="11.421875" style="1" customWidth="1"/>
  </cols>
  <sheetData>
    <row r="2" spans="2:12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3.5" customHeight="1">
      <c r="B3" s="49" t="s">
        <v>124</v>
      </c>
      <c r="C3" s="49"/>
      <c r="D3" s="49"/>
      <c r="E3" s="49"/>
      <c r="F3" s="49"/>
      <c r="G3" s="49"/>
      <c r="H3" s="49"/>
      <c r="I3" s="49"/>
      <c r="J3" s="49"/>
      <c r="K3" s="49"/>
      <c r="L3" s="27"/>
    </row>
    <row r="4" spans="2:12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28" t="s">
        <v>10</v>
      </c>
    </row>
    <row r="5" spans="4:10" ht="19.5" customHeight="1">
      <c r="D5" s="96" t="s">
        <v>125</v>
      </c>
      <c r="J5" s="96" t="s">
        <v>126</v>
      </c>
    </row>
    <row r="6" spans="2:11" ht="12.75" customHeight="1">
      <c r="B6" s="51">
        <v>0.3652</v>
      </c>
      <c r="C6" s="62" t="s">
        <v>127</v>
      </c>
      <c r="D6" s="40" t="s">
        <v>128</v>
      </c>
      <c r="H6" s="97">
        <v>7</v>
      </c>
      <c r="I6" s="62" t="s">
        <v>95</v>
      </c>
      <c r="J6" s="40" t="s">
        <v>129</v>
      </c>
      <c r="K6" s="50"/>
    </row>
    <row r="7" spans="2:11" ht="12.75" customHeight="1">
      <c r="B7" s="98">
        <v>0.47550000000000003</v>
      </c>
      <c r="C7" s="62" t="s">
        <v>127</v>
      </c>
      <c r="D7" s="40" t="s">
        <v>130</v>
      </c>
      <c r="H7" s="99">
        <v>10</v>
      </c>
      <c r="I7" s="62" t="s">
        <v>95</v>
      </c>
      <c r="J7" s="40" t="s">
        <v>131</v>
      </c>
      <c r="K7" s="50"/>
    </row>
    <row r="8" spans="2:11" ht="12.75" customHeight="1">
      <c r="B8" s="98">
        <v>0.59</v>
      </c>
      <c r="C8" s="62" t="s">
        <v>127</v>
      </c>
      <c r="D8" s="40" t="s">
        <v>132</v>
      </c>
      <c r="H8" s="99">
        <v>12</v>
      </c>
      <c r="I8" s="62" t="s">
        <v>95</v>
      </c>
      <c r="J8" s="40" t="s">
        <v>133</v>
      </c>
      <c r="K8" s="50"/>
    </row>
    <row r="9" spans="2:11" ht="12.75" customHeight="1">
      <c r="B9" s="98">
        <v>0.006</v>
      </c>
      <c r="C9" s="62" t="s">
        <v>127</v>
      </c>
      <c r="D9" s="40" t="s">
        <v>134</v>
      </c>
      <c r="H9" s="53">
        <v>20</v>
      </c>
      <c r="I9" s="62" t="s">
        <v>135</v>
      </c>
      <c r="J9" s="40" t="s">
        <v>136</v>
      </c>
      <c r="K9" s="50"/>
    </row>
    <row r="10" spans="2:11" ht="12.75" customHeight="1">
      <c r="B10" s="100">
        <v>0.0053</v>
      </c>
      <c r="C10" s="62" t="s">
        <v>137</v>
      </c>
      <c r="D10" s="40" t="s">
        <v>138</v>
      </c>
      <c r="H10" s="53">
        <v>15</v>
      </c>
      <c r="I10" s="62" t="s">
        <v>135</v>
      </c>
      <c r="J10" s="40" t="s">
        <v>139</v>
      </c>
      <c r="K10" s="50"/>
    </row>
    <row r="11" spans="2:11" ht="12.75" customHeight="1">
      <c r="B11" s="100">
        <v>0.0053</v>
      </c>
      <c r="C11" s="62" t="s">
        <v>137</v>
      </c>
      <c r="D11" s="40" t="s">
        <v>140</v>
      </c>
      <c r="H11" s="53">
        <v>10</v>
      </c>
      <c r="I11" s="62" t="s">
        <v>135</v>
      </c>
      <c r="J11" s="40" t="s">
        <v>141</v>
      </c>
      <c r="K11" s="50"/>
    </row>
    <row r="12" spans="2:11" ht="12.75" customHeight="1">
      <c r="B12" s="100">
        <v>0.0053</v>
      </c>
      <c r="C12" s="62" t="s">
        <v>137</v>
      </c>
      <c r="D12" s="40" t="s">
        <v>142</v>
      </c>
      <c r="H12" s="101">
        <v>12</v>
      </c>
      <c r="I12" s="62" t="s">
        <v>135</v>
      </c>
      <c r="J12" s="40" t="s">
        <v>143</v>
      </c>
      <c r="K12" s="50"/>
    </row>
    <row r="13" spans="2:11" ht="12.75" customHeight="1">
      <c r="B13" s="53">
        <v>2</v>
      </c>
      <c r="C13" s="62" t="s">
        <v>144</v>
      </c>
      <c r="D13" s="40" t="s">
        <v>145</v>
      </c>
      <c r="H13" s="53">
        <v>40.16</v>
      </c>
      <c r="I13" s="62" t="s">
        <v>135</v>
      </c>
      <c r="J13" s="40" t="s">
        <v>146</v>
      </c>
      <c r="K13" s="50"/>
    </row>
    <row r="14" spans="2:11" ht="12.75" customHeight="1">
      <c r="B14" s="53">
        <v>2</v>
      </c>
      <c r="C14" s="62" t="s">
        <v>144</v>
      </c>
      <c r="D14" s="40" t="s">
        <v>147</v>
      </c>
      <c r="H14" s="53">
        <v>40.16</v>
      </c>
      <c r="I14" s="62" t="s">
        <v>135</v>
      </c>
      <c r="J14" s="40" t="s">
        <v>148</v>
      </c>
      <c r="K14" s="50"/>
    </row>
    <row r="15" spans="2:11" ht="12.75" customHeight="1">
      <c r="B15" s="53">
        <v>2</v>
      </c>
      <c r="C15" s="62" t="s">
        <v>144</v>
      </c>
      <c r="D15" s="40" t="s">
        <v>149</v>
      </c>
      <c r="H15" s="53">
        <v>40.16</v>
      </c>
      <c r="I15" s="62" t="s">
        <v>135</v>
      </c>
      <c r="J15" s="40" t="s">
        <v>150</v>
      </c>
      <c r="K15" s="50"/>
    </row>
    <row r="16" spans="2:11" ht="12.75" customHeight="1">
      <c r="B16" s="69">
        <v>90000</v>
      </c>
      <c r="C16" s="62" t="s">
        <v>151</v>
      </c>
      <c r="D16" s="40" t="s">
        <v>152</v>
      </c>
      <c r="H16" s="53">
        <v>2.21</v>
      </c>
      <c r="I16" s="62" t="s">
        <v>153</v>
      </c>
      <c r="J16" s="40" t="s">
        <v>154</v>
      </c>
      <c r="K16" s="50"/>
    </row>
    <row r="17" spans="2:11" ht="12.75" customHeight="1">
      <c r="B17" s="69">
        <v>90000</v>
      </c>
      <c r="C17" s="62" t="s">
        <v>151</v>
      </c>
      <c r="D17" s="40" t="s">
        <v>155</v>
      </c>
      <c r="H17" s="53">
        <v>2.21</v>
      </c>
      <c r="I17" s="62" t="s">
        <v>153</v>
      </c>
      <c r="J17" s="40" t="s">
        <v>156</v>
      </c>
      <c r="K17" s="50"/>
    </row>
    <row r="18" spans="2:10" ht="12.75" customHeight="1">
      <c r="B18" s="102">
        <v>90000</v>
      </c>
      <c r="C18" s="62" t="s">
        <v>151</v>
      </c>
      <c r="D18" s="40" t="s">
        <v>157</v>
      </c>
      <c r="H18" s="53">
        <v>0.14</v>
      </c>
      <c r="I18" s="62" t="s">
        <v>153</v>
      </c>
      <c r="J18" s="40" t="s">
        <v>158</v>
      </c>
    </row>
    <row r="19" spans="8:10" ht="12.75" customHeight="1">
      <c r="H19" s="98">
        <v>0.135</v>
      </c>
      <c r="I19" s="62" t="s">
        <v>159</v>
      </c>
      <c r="J19" s="40" t="s">
        <v>160</v>
      </c>
    </row>
    <row r="20" spans="8:10" ht="12.75" customHeight="1">
      <c r="H20" s="98">
        <v>0.10500000000000001</v>
      </c>
      <c r="I20" s="62" t="s">
        <v>159</v>
      </c>
      <c r="J20" s="40" t="s">
        <v>161</v>
      </c>
    </row>
    <row r="21" spans="8:10" ht="12.75" customHeight="1">
      <c r="H21" s="98">
        <v>0.0025</v>
      </c>
      <c r="I21" s="62" t="s">
        <v>162</v>
      </c>
      <c r="J21" s="40" t="s">
        <v>163</v>
      </c>
    </row>
    <row r="22" spans="8:10" ht="12.75" customHeight="1">
      <c r="H22" s="54">
        <v>4.5</v>
      </c>
      <c r="I22" s="62" t="s">
        <v>135</v>
      </c>
      <c r="J22" s="40" t="s">
        <v>164</v>
      </c>
    </row>
  </sheetData>
  <sheetProtection password="CA5F" sheet="1"/>
  <mergeCells count="1">
    <mergeCell ref="B3:K3"/>
  </mergeCells>
  <printOptions/>
  <pageMargins left="0.7875" right="0.7875" top="0.9847222222222223" bottom="0.9840277777777777" header="0.49236111111111114" footer="0.5118055555555555"/>
  <pageSetup fitToHeight="1" fitToWidth="1" horizontalDpi="300" verticalDpi="300" orientation="landscape" paperSize="9"/>
  <headerFooter alignWithMargins="0">
    <oddHeader>&amp;C&amp;A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21"/>
  <sheetViews>
    <sheetView showRowColHeaders="0" workbookViewId="0" topLeftCell="A1">
      <selection activeCell="A1" sqref="A1"/>
    </sheetView>
  </sheetViews>
  <sheetFormatPr defaultColWidth="11.421875" defaultRowHeight="10.5" customHeight="1"/>
  <cols>
    <col min="1" max="1" width="5.7109375" style="1" customWidth="1"/>
    <col min="2" max="2" width="7.28125" style="1" customWidth="1"/>
    <col min="3" max="11" width="10.7109375" style="1" customWidth="1"/>
    <col min="12" max="12" width="0.71875" style="1" customWidth="1"/>
    <col min="13" max="16384" width="11.421875" style="1" customWidth="1"/>
  </cols>
  <sheetData>
    <row r="2" spans="2:12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5.75" customHeight="1">
      <c r="B3" s="49" t="s">
        <v>165</v>
      </c>
      <c r="C3" s="49"/>
      <c r="D3" s="49"/>
      <c r="E3" s="49"/>
      <c r="F3" s="49"/>
      <c r="G3" s="49"/>
      <c r="H3" s="49"/>
      <c r="I3" s="49"/>
      <c r="J3" s="49"/>
      <c r="K3" s="49"/>
      <c r="L3" s="27"/>
    </row>
    <row r="4" spans="2:12" ht="2.2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28" t="s">
        <v>10</v>
      </c>
    </row>
    <row r="5" spans="2:11" ht="11.25" customHeight="1">
      <c r="B5" s="103"/>
      <c r="C5" s="104"/>
      <c r="D5" s="104"/>
      <c r="E5" s="104"/>
      <c r="F5" s="105"/>
      <c r="G5" s="105"/>
      <c r="H5" s="105"/>
      <c r="I5" s="105"/>
      <c r="J5" s="105"/>
      <c r="K5" s="105"/>
    </row>
    <row r="6" spans="2:11" ht="12.75" customHeight="1">
      <c r="B6" s="106" t="s">
        <v>91</v>
      </c>
      <c r="C6" s="107" t="s">
        <v>166</v>
      </c>
      <c r="D6" s="107"/>
      <c r="E6" s="107"/>
      <c r="F6" s="108" t="s">
        <v>167</v>
      </c>
      <c r="G6" s="108"/>
      <c r="H6" s="108"/>
      <c r="I6" s="108" t="s">
        <v>168</v>
      </c>
      <c r="J6" s="108"/>
      <c r="K6" s="108"/>
    </row>
    <row r="7" spans="2:11" ht="12.75" customHeight="1">
      <c r="B7" s="109" t="s">
        <v>169</v>
      </c>
      <c r="C7" s="110" t="s">
        <v>170</v>
      </c>
      <c r="D7" s="111" t="s">
        <v>171</v>
      </c>
      <c r="E7" s="111"/>
      <c r="F7" s="112" t="s">
        <v>170</v>
      </c>
      <c r="G7" s="113" t="s">
        <v>171</v>
      </c>
      <c r="H7" s="113"/>
      <c r="I7" s="112" t="s">
        <v>170</v>
      </c>
      <c r="J7" s="113" t="s">
        <v>171</v>
      </c>
      <c r="K7" s="113"/>
    </row>
    <row r="8" spans="2:11" ht="12.75" customHeight="1">
      <c r="B8" s="114" t="s">
        <v>95</v>
      </c>
      <c r="C8" s="115" t="s">
        <v>172</v>
      </c>
      <c r="D8" s="116" t="s">
        <v>173</v>
      </c>
      <c r="E8" s="116" t="s">
        <v>174</v>
      </c>
      <c r="F8" s="115" t="s">
        <v>172</v>
      </c>
      <c r="G8" s="116" t="s">
        <v>173</v>
      </c>
      <c r="H8" s="116" t="s">
        <v>174</v>
      </c>
      <c r="I8" s="115" t="s">
        <v>172</v>
      </c>
      <c r="J8" s="116" t="s">
        <v>173</v>
      </c>
      <c r="K8" s="116" t="s">
        <v>174</v>
      </c>
    </row>
    <row r="9" spans="2:11" ht="12.75" customHeight="1">
      <c r="B9" s="103" t="s">
        <v>175</v>
      </c>
      <c r="C9" s="117">
        <f>PL!C120</f>
        <v>0.2</v>
      </c>
      <c r="D9" s="118">
        <f>PL!D120</f>
        <v>0.2</v>
      </c>
      <c r="E9" s="119">
        <f>PL!E119</f>
        <v>0.12</v>
      </c>
      <c r="F9" s="117">
        <f>PL!F120</f>
        <v>0.15454545454545454</v>
      </c>
      <c r="G9" s="118">
        <f>PL!G120</f>
        <v>0.15454545454545454</v>
      </c>
      <c r="H9" s="119">
        <f>PL!H120</f>
        <v>0.12</v>
      </c>
      <c r="I9" s="117">
        <f>PL!I120</f>
        <v>0.13846153846153847</v>
      </c>
      <c r="J9" s="118">
        <f>PL!J120</f>
        <v>0.13846153846153847</v>
      </c>
      <c r="K9" s="119">
        <f>PL!K120</f>
        <v>0.12</v>
      </c>
    </row>
    <row r="10" spans="2:11" ht="12.75" customHeight="1">
      <c r="B10" s="103" t="s">
        <v>176</v>
      </c>
      <c r="C10" s="117">
        <f>PL!C121</f>
        <v>0.17142857142857146</v>
      </c>
      <c r="D10" s="118">
        <f>PL!D121</f>
        <v>0.37142857142857144</v>
      </c>
      <c r="E10" s="119">
        <f>PL!E120</f>
        <v>0.09600000000000002</v>
      </c>
      <c r="F10" s="117">
        <f>PL!F121</f>
        <v>0.13909090909090907</v>
      </c>
      <c r="G10" s="118">
        <f>PL!G121</f>
        <v>0.2936363636363636</v>
      </c>
      <c r="H10" s="119">
        <f>PL!H121</f>
        <v>0.10145454545454545</v>
      </c>
      <c r="I10" s="117">
        <f>PL!I121</f>
        <v>0.12692307692307692</v>
      </c>
      <c r="J10" s="118">
        <f>PL!J121</f>
        <v>0.2653846153846154</v>
      </c>
      <c r="K10" s="119">
        <f>PL!K121</f>
        <v>0.1033846153846154</v>
      </c>
    </row>
    <row r="11" spans="2:11" ht="12.75" customHeight="1">
      <c r="B11" s="103" t="s">
        <v>177</v>
      </c>
      <c r="C11" s="117">
        <f>PL!C122</f>
        <v>0.14285714285714285</v>
      </c>
      <c r="D11" s="118">
        <f>PL!D122</f>
        <v>0.5142857142857142</v>
      </c>
      <c r="E11" s="119">
        <f>PL!E121</f>
        <v>0.07542857142857143</v>
      </c>
      <c r="F11" s="117">
        <f>PL!F122</f>
        <v>0.12363636363636363</v>
      </c>
      <c r="G11" s="118">
        <f>PL!G122</f>
        <v>0.41727272727272724</v>
      </c>
      <c r="H11" s="119">
        <f>PL!H122</f>
        <v>0.08476363636363636</v>
      </c>
      <c r="I11" s="117">
        <f>PL!I122</f>
        <v>0.11538461538461539</v>
      </c>
      <c r="J11" s="118">
        <f>PL!J122</f>
        <v>0.38076923076923075</v>
      </c>
      <c r="K11" s="119">
        <f>PL!K122</f>
        <v>0.08815384615384617</v>
      </c>
    </row>
    <row r="12" spans="2:11" ht="12.75" customHeight="1">
      <c r="B12" s="103" t="s">
        <v>178</v>
      </c>
      <c r="C12" s="117">
        <f>PL!C123</f>
        <v>0.1142857142857143</v>
      </c>
      <c r="D12" s="118">
        <f>PL!D123</f>
        <v>0.6285714285714286</v>
      </c>
      <c r="E12" s="119">
        <f>PL!E122</f>
        <v>0.058285714285714295</v>
      </c>
      <c r="F12" s="117">
        <f>PL!F123</f>
        <v>0.10818181818181818</v>
      </c>
      <c r="G12" s="118">
        <f>PL!G123</f>
        <v>0.5254545454545454</v>
      </c>
      <c r="H12" s="119">
        <f>PL!H123</f>
        <v>0.06992727272727273</v>
      </c>
      <c r="I12" s="117">
        <f>PL!I123</f>
        <v>0.10384615384615384</v>
      </c>
      <c r="J12" s="118">
        <f>PL!J123</f>
        <v>0.4846153846153846</v>
      </c>
      <c r="K12" s="119">
        <f>PL!K123</f>
        <v>0.07430769230769231</v>
      </c>
    </row>
    <row r="13" spans="2:11" ht="12.75" customHeight="1">
      <c r="B13" s="103" t="s">
        <v>179</v>
      </c>
      <c r="C13" s="117">
        <f>PL!C124</f>
        <v>0.08571428571428573</v>
      </c>
      <c r="D13" s="118">
        <f>PL!D124</f>
        <v>0.7142857142857144</v>
      </c>
      <c r="E13" s="119">
        <f>PL!E123</f>
        <v>0.044571428571428574</v>
      </c>
      <c r="F13" s="117">
        <f>PL!F124</f>
        <v>0.09272727272727273</v>
      </c>
      <c r="G13" s="118">
        <f>PL!G124</f>
        <v>0.6181818181818182</v>
      </c>
      <c r="H13" s="119">
        <f>PL!H124</f>
        <v>0.05694545454545455</v>
      </c>
      <c r="I13" s="117">
        <f>PL!I124</f>
        <v>0.09230769230769231</v>
      </c>
      <c r="J13" s="118">
        <f>PL!J124</f>
        <v>0.5769230769230769</v>
      </c>
      <c r="K13" s="119">
        <f>PL!K124</f>
        <v>0.06184615384615384</v>
      </c>
    </row>
    <row r="14" spans="2:11" ht="12.75" customHeight="1">
      <c r="B14" s="103" t="s">
        <v>180</v>
      </c>
      <c r="C14" s="117">
        <f>PL!C125</f>
        <v>0.05714285714285715</v>
      </c>
      <c r="D14" s="118">
        <f>PL!D125</f>
        <v>0.7714285714285716</v>
      </c>
      <c r="E14" s="119">
        <f>PL!E124</f>
        <v>0.034285714285714274</v>
      </c>
      <c r="F14" s="117">
        <f>PL!F125</f>
        <v>0.07727272727272727</v>
      </c>
      <c r="G14" s="118">
        <f>PL!G125</f>
        <v>0.6954545454545453</v>
      </c>
      <c r="H14" s="119">
        <f>PL!H125</f>
        <v>0.04581818181818182</v>
      </c>
      <c r="I14" s="117">
        <f>PL!I125</f>
        <v>0.08076923076923077</v>
      </c>
      <c r="J14" s="118">
        <f>PL!J125</f>
        <v>0.6576923076923078</v>
      </c>
      <c r="K14" s="119">
        <f>PL!K125</f>
        <v>0.050769230769230775</v>
      </c>
    </row>
    <row r="15" spans="2:11" ht="12.75" customHeight="1">
      <c r="B15" s="103" t="s">
        <v>181</v>
      </c>
      <c r="C15" s="117">
        <f>PL!C126</f>
        <v>0.028571428571428574</v>
      </c>
      <c r="D15" s="118">
        <f>PL!D126</f>
        <v>0.8</v>
      </c>
      <c r="E15" s="119">
        <f>PL!E125</f>
        <v>0.02742857142857141</v>
      </c>
      <c r="F15" s="117">
        <f>PL!F126</f>
        <v>0.061818181818181814</v>
      </c>
      <c r="G15" s="118">
        <f>PL!G126</f>
        <v>0.7572727272727271</v>
      </c>
      <c r="H15" s="119">
        <f>PL!H126</f>
        <v>0.03654545454545456</v>
      </c>
      <c r="I15" s="117">
        <f>PL!I126</f>
        <v>0.06923076923076923</v>
      </c>
      <c r="J15" s="118">
        <f>PL!J126</f>
        <v>0.726923076923077</v>
      </c>
      <c r="K15" s="119">
        <f>PL!K126</f>
        <v>0.041076923076923066</v>
      </c>
    </row>
    <row r="16" spans="2:11" ht="12.75" customHeight="1">
      <c r="B16" s="103" t="s">
        <v>182</v>
      </c>
      <c r="C16" s="117">
        <f>PL!C127</f>
        <v>0</v>
      </c>
      <c r="D16" s="118">
        <f>PL!D127</f>
        <v>0.8</v>
      </c>
      <c r="E16" s="119">
        <f>PL!E126</f>
        <v>0.023999999999999994</v>
      </c>
      <c r="F16" s="117">
        <f>PL!F127</f>
        <v>0.046363636363636364</v>
      </c>
      <c r="G16" s="118">
        <f>PL!G127</f>
        <v>0.8036363636363635</v>
      </c>
      <c r="H16" s="119">
        <f>PL!H127</f>
        <v>0.029127272727272748</v>
      </c>
      <c r="I16" s="117">
        <f>PL!I127</f>
        <v>0.057692307692307696</v>
      </c>
      <c r="J16" s="118">
        <f>PL!J127</f>
        <v>0.7846153846153847</v>
      </c>
      <c r="K16" s="119">
        <f>PL!K127</f>
        <v>0.03276923076923076</v>
      </c>
    </row>
    <row r="17" spans="2:11" ht="12.75" customHeight="1">
      <c r="B17" s="103" t="s">
        <v>183</v>
      </c>
      <c r="C17" s="117">
        <f>PL!C128</f>
        <v>0</v>
      </c>
      <c r="D17" s="118">
        <f>PL!D128</f>
        <v>0.8</v>
      </c>
      <c r="E17" s="119">
        <f>PL!E127</f>
        <v>0.023999999999999994</v>
      </c>
      <c r="F17" s="117">
        <f>PL!F128</f>
        <v>0.030909090909090907</v>
      </c>
      <c r="G17" s="118">
        <f>PL!G128</f>
        <v>0.8345454545454544</v>
      </c>
      <c r="H17" s="119">
        <f>PL!H128</f>
        <v>0.023563636363636384</v>
      </c>
      <c r="I17" s="117">
        <f>PL!I128</f>
        <v>0.046153846153846156</v>
      </c>
      <c r="J17" s="118">
        <f>PL!J128</f>
        <v>0.8307692307692307</v>
      </c>
      <c r="K17" s="119">
        <f>PL!K128</f>
        <v>0.025846153846153835</v>
      </c>
    </row>
    <row r="18" spans="2:11" ht="12.75" customHeight="1">
      <c r="B18" s="103" t="s">
        <v>184</v>
      </c>
      <c r="C18" s="117">
        <f>PL!C129</f>
        <v>0</v>
      </c>
      <c r="D18" s="118">
        <f>PL!D129</f>
        <v>0.8</v>
      </c>
      <c r="E18" s="119">
        <f>PL!E128</f>
        <v>0.023999999999999994</v>
      </c>
      <c r="F18" s="117">
        <f>PL!F129</f>
        <v>0.015454545454545453</v>
      </c>
      <c r="G18" s="118">
        <f>PL!G129</f>
        <v>0.8499999999999999</v>
      </c>
      <c r="H18" s="119">
        <f>PL!H129</f>
        <v>0.019854545454545475</v>
      </c>
      <c r="I18" s="117">
        <f>PL!I129</f>
        <v>0.03461538461538462</v>
      </c>
      <c r="J18" s="118">
        <f>PL!J129</f>
        <v>0.8653846153846154</v>
      </c>
      <c r="K18" s="119">
        <f>PL!K129</f>
        <v>0.020307692307692315</v>
      </c>
    </row>
    <row r="19" spans="2:11" ht="12.75" customHeight="1">
      <c r="B19" s="103" t="s">
        <v>185</v>
      </c>
      <c r="C19" s="117">
        <f>PL!C130</f>
        <v>0</v>
      </c>
      <c r="D19" s="118">
        <f>PL!D130</f>
        <v>0.8</v>
      </c>
      <c r="E19" s="119">
        <f>PL!E129</f>
        <v>0.023999999999999994</v>
      </c>
      <c r="F19" s="117">
        <f>PL!F130</f>
        <v>0</v>
      </c>
      <c r="G19" s="118">
        <f>PL!G130</f>
        <v>0.8499999999999999</v>
      </c>
      <c r="H19" s="119">
        <f>PL!H130</f>
        <v>0.018000000000000016</v>
      </c>
      <c r="I19" s="117">
        <f>PL!I130</f>
        <v>0.023076923076923078</v>
      </c>
      <c r="J19" s="118">
        <f>PL!J130</f>
        <v>0.8884615384615384</v>
      </c>
      <c r="K19" s="119">
        <f>PL!K130</f>
        <v>0.01615384615384615</v>
      </c>
    </row>
    <row r="20" spans="2:11" ht="12.75" customHeight="1">
      <c r="B20" s="103" t="s">
        <v>186</v>
      </c>
      <c r="C20" s="117">
        <f>PL!C131</f>
        <v>0</v>
      </c>
      <c r="D20" s="118">
        <f>PL!D131</f>
        <v>0.8</v>
      </c>
      <c r="E20" s="119">
        <f>PL!E130</f>
        <v>0.023999999999999994</v>
      </c>
      <c r="F20" s="117">
        <f>PL!F131</f>
        <v>0</v>
      </c>
      <c r="G20" s="118">
        <f>PL!G131</f>
        <v>0.8499999999999999</v>
      </c>
      <c r="H20" s="119">
        <f>PL!H131</f>
        <v>0.018000000000000016</v>
      </c>
      <c r="I20" s="117">
        <f>PL!I131</f>
        <v>0.011538461538461539</v>
      </c>
      <c r="J20" s="118">
        <f>PL!J131</f>
        <v>0.8999999999999999</v>
      </c>
      <c r="K20" s="119">
        <f>PL!K131</f>
        <v>0.01338461538461539</v>
      </c>
    </row>
    <row r="21" spans="2:11" ht="12.75" customHeight="1">
      <c r="B21" s="120" t="s">
        <v>187</v>
      </c>
      <c r="C21" s="121">
        <f>PL!C132</f>
        <v>0</v>
      </c>
      <c r="D21" s="122">
        <f>PL!D132</f>
        <v>0.8</v>
      </c>
      <c r="E21" s="123">
        <f>PL!E131</f>
        <v>0.023999999999999994</v>
      </c>
      <c r="F21" s="121">
        <f>PL!F132</f>
        <v>0</v>
      </c>
      <c r="G21" s="122">
        <f>PL!G132</f>
        <v>0.8499999999999999</v>
      </c>
      <c r="H21" s="123">
        <f>PL!H132</f>
        <v>0.018000000000000016</v>
      </c>
      <c r="I21" s="121">
        <f>PL!I132</f>
        <v>0</v>
      </c>
      <c r="J21" s="122">
        <f>PL!J132</f>
        <v>0.8999999999999999</v>
      </c>
      <c r="K21" s="123">
        <f>PL!K132</f>
        <v>0.01200000000000001</v>
      </c>
    </row>
  </sheetData>
  <sheetProtection password="CA5F" sheet="1"/>
  <mergeCells count="7">
    <mergeCell ref="B3:K3"/>
    <mergeCell ref="C6:E6"/>
    <mergeCell ref="F6:H6"/>
    <mergeCell ref="I6:K6"/>
    <mergeCell ref="D7:E7"/>
    <mergeCell ref="G7:H7"/>
    <mergeCell ref="J7:K7"/>
  </mergeCells>
  <printOptions/>
  <pageMargins left="0.7875" right="0.7875" top="0.9847222222222223" bottom="0.9847222222222223" header="0.49236111111111114" footer="0.49236111111111114"/>
  <pageSetup horizontalDpi="300" verticalDpi="300" orientation="landscape"/>
  <headerFooter alignWithMargins="0"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CÁLCULO DE TARIFAS DE ÔNIBUS URBANO</dc:title>
  <dc:subject>TRANSPORTE URBANO</dc:subject>
  <dc:creator>AGUINALDO MIGNOT GRAVE</dc:creator>
  <cp:keywords/>
  <dc:description/>
  <cp:lastModifiedBy/>
  <cp:lastPrinted>2011-11-18T12:09:17Z</cp:lastPrinted>
  <dcterms:created xsi:type="dcterms:W3CDTF">2000-09-08T18:01:14Z</dcterms:created>
  <dcterms:modified xsi:type="dcterms:W3CDTF">2014-02-20T00:20:04Z</dcterms:modified>
  <cp:category/>
  <cp:version/>
  <cp:contentType/>
  <cp:contentStatus/>
  <cp:revision>9</cp:revision>
</cp:coreProperties>
</file>